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<sst xmlns="http://schemas.openxmlformats.org/spreadsheetml/2006/main" count="250" uniqueCount="183">
  <si>
    <t>Дплан</t>
  </si>
  <si>
    <t>дня во 2 квартале 2009</t>
  </si>
  <si>
    <t>Дпосл</t>
  </si>
  <si>
    <t>дня в 3 квартале 2009</t>
  </si>
  <si>
    <t>Nква</t>
  </si>
  <si>
    <t>машинокомплектов</t>
  </si>
  <si>
    <t>Nквб</t>
  </si>
  <si>
    <t>Трудоемкость</t>
  </si>
  <si>
    <t>Номер</t>
  </si>
  <si>
    <t>Виды работ</t>
  </si>
  <si>
    <t>Трудоемкость по разрядам в нормочасах</t>
  </si>
  <si>
    <t>Изделие А</t>
  </si>
  <si>
    <t>Изделие Б</t>
  </si>
  <si>
    <t>Итого</t>
  </si>
  <si>
    <t>Токарные</t>
  </si>
  <si>
    <t>Револьверные</t>
  </si>
  <si>
    <t>Фрезерные</t>
  </si>
  <si>
    <t>Сверлильные</t>
  </si>
  <si>
    <t>Строгальные</t>
  </si>
  <si>
    <t>Слесарные</t>
  </si>
  <si>
    <t>Итого (tизд)</t>
  </si>
  <si>
    <t>Праб</t>
  </si>
  <si>
    <t>%</t>
  </si>
  <si>
    <t>Sуд</t>
  </si>
  <si>
    <t>м. кв. на станок</t>
  </si>
  <si>
    <t>Поб</t>
  </si>
  <si>
    <t>м. кв. на слесарные, сборочные, испытательные и другие нестандартные рабочие места</t>
  </si>
  <si>
    <t>Пнна</t>
  </si>
  <si>
    <t>Нормо-часов</t>
  </si>
  <si>
    <t>Пннб</t>
  </si>
  <si>
    <t>Тца</t>
  </si>
  <si>
    <t>дней</t>
  </si>
  <si>
    <t>Тцб</t>
  </si>
  <si>
    <t>Кпосла</t>
  </si>
  <si>
    <t>Кпослб</t>
  </si>
  <si>
    <t>Ктг</t>
  </si>
  <si>
    <t>Рабочих дней в неделе</t>
  </si>
  <si>
    <t>Число смен</t>
  </si>
  <si>
    <t>q</t>
  </si>
  <si>
    <t>Время смены</t>
  </si>
  <si>
    <t>Tсм</t>
  </si>
  <si>
    <t>часов</t>
  </si>
  <si>
    <t>Стоимость</t>
  </si>
  <si>
    <t>Наим. Затрат</t>
  </si>
  <si>
    <t>Сумма (руб)</t>
  </si>
  <si>
    <t>Основные материалы</t>
  </si>
  <si>
    <t>Полуфабрикаты покупные</t>
  </si>
  <si>
    <t>Готовые изд. Покупные</t>
  </si>
  <si>
    <t>Лабораторная работа №1</t>
  </si>
  <si>
    <t>Лабораторная работа №2</t>
  </si>
  <si>
    <t>Среднесуточный выпуск изделия</t>
  </si>
  <si>
    <t>Коэф незав пр-ва</t>
  </si>
  <si>
    <t>Nсра</t>
  </si>
  <si>
    <t>шт</t>
  </si>
  <si>
    <t>К</t>
  </si>
  <si>
    <t>Nсрб</t>
  </si>
  <si>
    <t>Валовая продукция по каждой операции</t>
  </si>
  <si>
    <t>Остаток незавершенного пр-ва на конец план периода</t>
  </si>
  <si>
    <t>Пв1</t>
  </si>
  <si>
    <t>н/ч</t>
  </si>
  <si>
    <t>Пнк</t>
  </si>
  <si>
    <t>Пв2</t>
  </si>
  <si>
    <t>Изменение остатков незав пр-ва</t>
  </si>
  <si>
    <t>Пв3</t>
  </si>
  <si>
    <t>dПн</t>
  </si>
  <si>
    <t>Пв4</t>
  </si>
  <si>
    <t>Объем товарной продукции цеха</t>
  </si>
  <si>
    <t>Пв5</t>
  </si>
  <si>
    <t>Пт</t>
  </si>
  <si>
    <t>Пв6</t>
  </si>
  <si>
    <t>Валовая продукция цеха</t>
  </si>
  <si>
    <t>Пв</t>
  </si>
  <si>
    <t>Сходится</t>
  </si>
  <si>
    <t>Производственная программа цеха на квартал</t>
  </si>
  <si>
    <t>Действительный фонд работы оборудования</t>
  </si>
  <si>
    <t>Наименование</t>
  </si>
  <si>
    <t>Зад на квартал</t>
  </si>
  <si>
    <t>Трудоемкость, н/ч</t>
  </si>
  <si>
    <t>Fдоб</t>
  </si>
  <si>
    <t>одного</t>
  </si>
  <si>
    <t>квартального задания</t>
  </si>
  <si>
    <t>Загрузка оборудования</t>
  </si>
  <si>
    <t>Зоб1</t>
  </si>
  <si>
    <t>Зоб2</t>
  </si>
  <si>
    <t>Зоб3</t>
  </si>
  <si>
    <t>Зоб4</t>
  </si>
  <si>
    <t>Зоб5</t>
  </si>
  <si>
    <t>Зоб6</t>
  </si>
  <si>
    <t>Потребное кол-во оборудования по операциям</t>
  </si>
  <si>
    <t>Qосн об р 1</t>
  </si>
  <si>
    <t>Qосн об р 2</t>
  </si>
  <si>
    <t>Qосн об р 3</t>
  </si>
  <si>
    <t>Qосн об р 4</t>
  </si>
  <si>
    <t>Qосн об р 5</t>
  </si>
  <si>
    <t>Qосн об р 6</t>
  </si>
  <si>
    <t>Технологический комплект вспомогательного оборудования</t>
  </si>
  <si>
    <t>Название</t>
  </si>
  <si>
    <t>Гр механика</t>
  </si>
  <si>
    <t>Заточное отд</t>
  </si>
  <si>
    <t>ПРИН</t>
  </si>
  <si>
    <t>Всего</t>
  </si>
  <si>
    <t>Токарно-винторезные</t>
  </si>
  <si>
    <t>Сверлильные станки</t>
  </si>
  <si>
    <t>Универсально-фрезерные</t>
  </si>
  <si>
    <t>Шлифовальные</t>
  </si>
  <si>
    <t>Заточные</t>
  </si>
  <si>
    <t>Слесарные верстаки</t>
  </si>
  <si>
    <t>Стоимость оборудования</t>
  </si>
  <si>
    <t>Цена</t>
  </si>
  <si>
    <t>Осн обор</t>
  </si>
  <si>
    <t>Вспом обор</t>
  </si>
  <si>
    <t>Совокупная цена</t>
  </si>
  <si>
    <t>Токарно-револьверные</t>
  </si>
  <si>
    <t>Вертикально-фрезерные</t>
  </si>
  <si>
    <t>Вертикально-сверлильные</t>
  </si>
  <si>
    <t>Испытательные стенды</t>
  </si>
  <si>
    <t>Регулировочные стенды</t>
  </si>
  <si>
    <t>Заточные станки</t>
  </si>
  <si>
    <t>Верстаки слесарные</t>
  </si>
  <si>
    <t>руб</t>
  </si>
  <si>
    <t>Площадь цеха</t>
  </si>
  <si>
    <t>Считаем число станков ВЕЗДЕ, умножаем на 9, добавляем верстаки х5</t>
  </si>
  <si>
    <t>Sпр</t>
  </si>
  <si>
    <t>м. кв</t>
  </si>
  <si>
    <t>Sвсп</t>
  </si>
  <si>
    <t>Sк</t>
  </si>
  <si>
    <t>Sп</t>
  </si>
  <si>
    <t>Sц</t>
  </si>
  <si>
    <t>Расчет стоимости основных фондов цеха</t>
  </si>
  <si>
    <t>Vпр</t>
  </si>
  <si>
    <t>м. куб.</t>
  </si>
  <si>
    <t>hпр</t>
  </si>
  <si>
    <t>м</t>
  </si>
  <si>
    <t>Vк</t>
  </si>
  <si>
    <t>Спр</t>
  </si>
  <si>
    <t>Cзд</t>
  </si>
  <si>
    <t>руб.</t>
  </si>
  <si>
    <t>Ск</t>
  </si>
  <si>
    <t>Соб</t>
  </si>
  <si>
    <t>Стр</t>
  </si>
  <si>
    <t>Спр ин</t>
  </si>
  <si>
    <t>Коэф</t>
  </si>
  <si>
    <t>С инв</t>
  </si>
  <si>
    <t>С осн</t>
  </si>
  <si>
    <t>Коэф загрузки</t>
  </si>
  <si>
    <t>Средний</t>
  </si>
  <si>
    <t>По основным</t>
  </si>
  <si>
    <t>По вспомогательным</t>
  </si>
  <si>
    <t>Лабораторная работа №3</t>
  </si>
  <si>
    <t>Fдр</t>
  </si>
  <si>
    <t>Полезный фонд времени работы рабочего</t>
  </si>
  <si>
    <t>Количество рабочих по типу работ</t>
  </si>
  <si>
    <t>Q пр 1</t>
  </si>
  <si>
    <t>Кн</t>
  </si>
  <si>
    <t>Q пр 2</t>
  </si>
  <si>
    <t>Q пр 3</t>
  </si>
  <si>
    <t>Q пр 4</t>
  </si>
  <si>
    <t>Q пр 5</t>
  </si>
  <si>
    <t>Q пр 6</t>
  </si>
  <si>
    <t>Объем валовой продукции jтого вида работ iтого разряда</t>
  </si>
  <si>
    <t>Вид работы</t>
  </si>
  <si>
    <t>Разряд</t>
  </si>
  <si>
    <t>Количество рабочих по профессии и разряду</t>
  </si>
  <si>
    <t>слесарные и сборочные работы не считаются станочными</t>
  </si>
  <si>
    <t>Суммарная трудоемкость</t>
  </si>
  <si>
    <t>Станочные</t>
  </si>
  <si>
    <t>Нестаночные</t>
  </si>
  <si>
    <t>Тарифные ставки</t>
  </si>
  <si>
    <t>Оплата по виду работ</t>
  </si>
  <si>
    <t>Среднечасовая ставка</t>
  </si>
  <si>
    <t>r ср</t>
  </si>
  <si>
    <t>коп</t>
  </si>
  <si>
    <t>Ф тар пр</t>
  </si>
  <si>
    <t>Тарифный фонд заработной платы</t>
  </si>
  <si>
    <t>Основной фонд заработной платы</t>
  </si>
  <si>
    <t>Ф осн пр</t>
  </si>
  <si>
    <t>Полный фонд заработной платы</t>
  </si>
  <si>
    <t>Ф полн</t>
  </si>
  <si>
    <t>Производительность труда одного рабочего:</t>
  </si>
  <si>
    <t>В пр</t>
  </si>
  <si>
    <t>Q пр</t>
  </si>
  <si>
    <t>Среднемесячная заработная плата в таком случае:</t>
  </si>
  <si>
    <t>З ср пр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</si>
</sst>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</numFmts>
  <fonts count="35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PageLayoutView="0" workbookViewId="0" topLeftCell="K64">
      <selection activeCell="Q93" sqref="Q93"/>
    </sheetView>
  </sheetViews>
  <sheetFormatPr defaultColWidth="11.57421875" defaultRowHeight="12.75"/>
  <cols>
    <col min="1" max="1" width="13.7109375" style="0" customWidth="1"/>
    <col min="2" max="2" width="14.00390625" style="0" customWidth="1"/>
    <col min="3" max="11" width="11.57421875" style="0" customWidth="1"/>
    <col min="12" max="12" width="15.8515625" style="0" bestFit="1" customWidth="1"/>
    <col min="13" max="13" width="12.421875" style="0" bestFit="1" customWidth="1"/>
    <col min="14" max="14" width="19.421875" style="0" bestFit="1" customWidth="1"/>
  </cols>
  <sheetData>
    <row r="1" spans="1:3" ht="12.75">
      <c r="A1" t="s">
        <v>0</v>
      </c>
      <c r="B1">
        <v>62</v>
      </c>
      <c r="C1" t="s">
        <v>1</v>
      </c>
    </row>
    <row r="2" spans="1:3" ht="12.75">
      <c r="A2" t="s">
        <v>2</v>
      </c>
      <c r="B2">
        <v>64</v>
      </c>
      <c r="C2" t="s">
        <v>3</v>
      </c>
    </row>
    <row r="3" spans="1:3" ht="12.75">
      <c r="A3" t="s">
        <v>4</v>
      </c>
      <c r="B3">
        <v>750</v>
      </c>
      <c r="C3" t="s">
        <v>5</v>
      </c>
    </row>
    <row r="4" spans="1:3" ht="12.75">
      <c r="A4" t="s">
        <v>6</v>
      </c>
      <c r="B4">
        <v>620</v>
      </c>
      <c r="C4" t="s">
        <v>5</v>
      </c>
    </row>
    <row r="6" ht="12.75">
      <c r="A6" t="s">
        <v>7</v>
      </c>
    </row>
    <row r="7" spans="1:16" ht="12.75">
      <c r="A7" s="4" t="s">
        <v>8</v>
      </c>
      <c r="B7" s="4" t="s">
        <v>9</v>
      </c>
      <c r="C7" s="4" t="s">
        <v>10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4"/>
      <c r="B8" s="4"/>
      <c r="C8" s="6" t="s">
        <v>11</v>
      </c>
      <c r="D8" s="6"/>
      <c r="E8" s="6"/>
      <c r="F8" s="6"/>
      <c r="G8" s="6"/>
      <c r="H8" s="6"/>
      <c r="I8" s="6"/>
      <c r="J8" s="6" t="s">
        <v>12</v>
      </c>
      <c r="K8" s="6"/>
      <c r="L8" s="6"/>
      <c r="M8" s="6"/>
      <c r="N8" s="6"/>
      <c r="O8" s="6"/>
      <c r="P8" s="6"/>
    </row>
    <row r="9" spans="1:16" ht="12.75">
      <c r="A9" s="4"/>
      <c r="B9" s="4"/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 t="s">
        <v>13</v>
      </c>
      <c r="J9">
        <v>1</v>
      </c>
      <c r="K9">
        <v>2</v>
      </c>
      <c r="L9">
        <v>3</v>
      </c>
      <c r="M9">
        <v>4</v>
      </c>
      <c r="N9">
        <v>5</v>
      </c>
      <c r="O9">
        <v>6</v>
      </c>
      <c r="P9" t="s">
        <v>13</v>
      </c>
    </row>
    <row r="10" spans="1:16" ht="12.75">
      <c r="A10">
        <v>1</v>
      </c>
      <c r="B10" t="s">
        <v>14</v>
      </c>
      <c r="C10">
        <v>6</v>
      </c>
      <c r="D10">
        <v>10</v>
      </c>
      <c r="F10">
        <v>9</v>
      </c>
      <c r="I10">
        <f aca="true" t="shared" si="0" ref="I10:I15">SUM(C10:H10)</f>
        <v>25</v>
      </c>
      <c r="J10">
        <v>8</v>
      </c>
      <c r="K10">
        <v>11</v>
      </c>
      <c r="L10">
        <v>5</v>
      </c>
      <c r="P10">
        <f aca="true" t="shared" si="1" ref="P10:P15">SUM(J10:O10)</f>
        <v>24</v>
      </c>
    </row>
    <row r="11" spans="1:16" ht="12.75">
      <c r="A11">
        <v>2</v>
      </c>
      <c r="B11" t="s">
        <v>15</v>
      </c>
      <c r="D11">
        <v>5</v>
      </c>
      <c r="E11">
        <v>7</v>
      </c>
      <c r="I11">
        <f t="shared" si="0"/>
        <v>12</v>
      </c>
      <c r="J11">
        <v>3</v>
      </c>
      <c r="K11">
        <v>4</v>
      </c>
      <c r="L11">
        <v>5</v>
      </c>
      <c r="P11">
        <f t="shared" si="1"/>
        <v>12</v>
      </c>
    </row>
    <row r="12" spans="1:16" ht="12.75">
      <c r="A12">
        <v>3</v>
      </c>
      <c r="B12" t="s">
        <v>16</v>
      </c>
      <c r="C12">
        <v>4</v>
      </c>
      <c r="D12">
        <v>8</v>
      </c>
      <c r="I12">
        <f t="shared" si="0"/>
        <v>12</v>
      </c>
      <c r="J12">
        <v>2</v>
      </c>
      <c r="K12">
        <v>3</v>
      </c>
      <c r="L12">
        <v>4</v>
      </c>
      <c r="P12">
        <f t="shared" si="1"/>
        <v>9</v>
      </c>
    </row>
    <row r="13" spans="1:16" ht="12.75">
      <c r="A13">
        <v>4</v>
      </c>
      <c r="B13" t="s">
        <v>17</v>
      </c>
      <c r="E13">
        <v>10</v>
      </c>
      <c r="F13">
        <v>8</v>
      </c>
      <c r="I13">
        <f t="shared" si="0"/>
        <v>18</v>
      </c>
      <c r="L13">
        <v>8</v>
      </c>
      <c r="M13">
        <v>5</v>
      </c>
      <c r="P13">
        <f t="shared" si="1"/>
        <v>13</v>
      </c>
    </row>
    <row r="14" spans="1:16" ht="12.75">
      <c r="A14">
        <v>5</v>
      </c>
      <c r="B14" t="s">
        <v>18</v>
      </c>
      <c r="E14">
        <v>15</v>
      </c>
      <c r="F14">
        <v>6</v>
      </c>
      <c r="I14">
        <f t="shared" si="0"/>
        <v>21</v>
      </c>
      <c r="L14">
        <v>16</v>
      </c>
      <c r="M14">
        <v>7</v>
      </c>
      <c r="P14">
        <f t="shared" si="1"/>
        <v>23</v>
      </c>
    </row>
    <row r="15" spans="1:16" ht="12.75">
      <c r="A15">
        <v>6</v>
      </c>
      <c r="B15" t="s">
        <v>19</v>
      </c>
      <c r="G15">
        <v>3</v>
      </c>
      <c r="I15">
        <f t="shared" si="0"/>
        <v>3</v>
      </c>
      <c r="N15">
        <v>3</v>
      </c>
      <c r="P15">
        <f t="shared" si="1"/>
        <v>3</v>
      </c>
    </row>
    <row r="16" spans="2:16" ht="12.75">
      <c r="B16" t="s">
        <v>20</v>
      </c>
      <c r="C16">
        <f aca="true" t="shared" si="2" ref="C16:P16">SUM(C10:C15)</f>
        <v>10</v>
      </c>
      <c r="D16">
        <f t="shared" si="2"/>
        <v>23</v>
      </c>
      <c r="E16">
        <f t="shared" si="2"/>
        <v>32</v>
      </c>
      <c r="F16">
        <f t="shared" si="2"/>
        <v>23</v>
      </c>
      <c r="G16">
        <f t="shared" si="2"/>
        <v>3</v>
      </c>
      <c r="H16">
        <f t="shared" si="2"/>
        <v>0</v>
      </c>
      <c r="I16">
        <f t="shared" si="2"/>
        <v>91</v>
      </c>
      <c r="J16">
        <f t="shared" si="2"/>
        <v>13</v>
      </c>
      <c r="K16">
        <f t="shared" si="2"/>
        <v>18</v>
      </c>
      <c r="L16">
        <f t="shared" si="2"/>
        <v>38</v>
      </c>
      <c r="M16">
        <f t="shared" si="2"/>
        <v>12</v>
      </c>
      <c r="N16">
        <f t="shared" si="2"/>
        <v>3</v>
      </c>
      <c r="O16">
        <f t="shared" si="2"/>
        <v>0</v>
      </c>
      <c r="P16">
        <f t="shared" si="2"/>
        <v>84</v>
      </c>
    </row>
    <row r="18" spans="1:7" ht="12.75">
      <c r="A18" t="s">
        <v>21</v>
      </c>
      <c r="B18">
        <v>10</v>
      </c>
      <c r="C18" t="s">
        <v>22</v>
      </c>
      <c r="E18" t="s">
        <v>23</v>
      </c>
      <c r="F18">
        <v>10</v>
      </c>
      <c r="G18" t="s">
        <v>24</v>
      </c>
    </row>
    <row r="19" spans="1:7" ht="12.75">
      <c r="A19" t="s">
        <v>25</v>
      </c>
      <c r="B19">
        <v>3</v>
      </c>
      <c r="C19" t="s">
        <v>22</v>
      </c>
      <c r="E19" t="s">
        <v>23</v>
      </c>
      <c r="F19">
        <v>5</v>
      </c>
      <c r="G19" t="s">
        <v>26</v>
      </c>
    </row>
    <row r="21" spans="1:3" ht="12.75">
      <c r="A21" t="s">
        <v>27</v>
      </c>
      <c r="B21">
        <v>2000</v>
      </c>
      <c r="C21" t="s">
        <v>28</v>
      </c>
    </row>
    <row r="22" spans="1:3" ht="12.75">
      <c r="A22" t="s">
        <v>29</v>
      </c>
      <c r="B22">
        <v>3200</v>
      </c>
      <c r="C22" t="s">
        <v>28</v>
      </c>
    </row>
    <row r="23" spans="1:3" ht="12.75">
      <c r="A23" t="s">
        <v>30</v>
      </c>
      <c r="B23">
        <v>9</v>
      </c>
      <c r="C23" t="s">
        <v>31</v>
      </c>
    </row>
    <row r="24" spans="1:3" ht="12.75">
      <c r="A24" t="s">
        <v>32</v>
      </c>
      <c r="B24">
        <v>10</v>
      </c>
      <c r="C24" t="s">
        <v>31</v>
      </c>
    </row>
    <row r="25" spans="1:3" ht="12.75">
      <c r="A25" t="s">
        <v>33</v>
      </c>
      <c r="B25">
        <v>2</v>
      </c>
      <c r="C25" t="s">
        <v>22</v>
      </c>
    </row>
    <row r="26" spans="1:3" ht="12.75">
      <c r="A26" t="s">
        <v>34</v>
      </c>
      <c r="B26">
        <v>3</v>
      </c>
      <c r="C26" t="s">
        <v>22</v>
      </c>
    </row>
    <row r="27" spans="1:2" ht="12.75">
      <c r="A27" t="s">
        <v>35</v>
      </c>
      <c r="B27">
        <v>0.51</v>
      </c>
    </row>
    <row r="28" spans="1:2" ht="12.75">
      <c r="A28" t="s">
        <v>153</v>
      </c>
      <c r="B28">
        <v>1.12</v>
      </c>
    </row>
    <row r="29" spans="1:3" ht="12.75">
      <c r="A29" t="s">
        <v>36</v>
      </c>
      <c r="C29">
        <v>5</v>
      </c>
    </row>
    <row r="30" spans="1:3" ht="12.75">
      <c r="A30" t="s">
        <v>37</v>
      </c>
      <c r="B30" t="s">
        <v>38</v>
      </c>
      <c r="C30">
        <v>2</v>
      </c>
    </row>
    <row r="31" spans="1:4" ht="12.75">
      <c r="A31" t="s">
        <v>39</v>
      </c>
      <c r="B31" t="s">
        <v>40</v>
      </c>
      <c r="C31">
        <v>8</v>
      </c>
      <c r="D31" t="s">
        <v>41</v>
      </c>
    </row>
    <row r="32" ht="12.75">
      <c r="A32" t="s">
        <v>42</v>
      </c>
    </row>
    <row r="33" spans="1:5" ht="12.75">
      <c r="A33" s="4" t="s">
        <v>8</v>
      </c>
      <c r="B33" s="4" t="s">
        <v>43</v>
      </c>
      <c r="C33" s="4"/>
      <c r="D33" s="4" t="s">
        <v>44</v>
      </c>
      <c r="E33" s="4"/>
    </row>
    <row r="34" spans="1:5" ht="12.75">
      <c r="A34" s="4"/>
      <c r="B34" s="4"/>
      <c r="C34" s="4"/>
      <c r="D34" t="s">
        <v>11</v>
      </c>
      <c r="E34" t="s">
        <v>12</v>
      </c>
    </row>
    <row r="35" spans="1:4" ht="12.75">
      <c r="A35">
        <v>1</v>
      </c>
      <c r="B35" s="4" t="s">
        <v>45</v>
      </c>
      <c r="C35" s="4"/>
      <c r="D35">
        <v>167</v>
      </c>
    </row>
    <row r="36" spans="1:5" ht="12.75">
      <c r="A36">
        <v>2</v>
      </c>
      <c r="B36" s="4" t="s">
        <v>46</v>
      </c>
      <c r="C36" s="4"/>
      <c r="E36">
        <v>189</v>
      </c>
    </row>
    <row r="37" spans="1:3" ht="12.75">
      <c r="A37">
        <v>3</v>
      </c>
      <c r="B37" s="4" t="s">
        <v>47</v>
      </c>
      <c r="C37" s="4"/>
    </row>
    <row r="39" spans="1:7" ht="12.75">
      <c r="A39" t="s">
        <v>48</v>
      </c>
      <c r="G39" t="s">
        <v>49</v>
      </c>
    </row>
    <row r="40" spans="1:15" ht="12.75">
      <c r="A40" t="s">
        <v>50</v>
      </c>
      <c r="G40" t="s">
        <v>51</v>
      </c>
      <c r="O40" t="s">
        <v>148</v>
      </c>
    </row>
    <row r="41" spans="1:15" ht="12.75">
      <c r="A41" t="s">
        <v>52</v>
      </c>
      <c r="B41">
        <f>ROUNDUP(B3*(1+B25/100)/B2,0)</f>
        <v>12</v>
      </c>
      <c r="C41" t="s">
        <v>53</v>
      </c>
      <c r="G41" t="s">
        <v>54</v>
      </c>
      <c r="H41" s="1">
        <f>B50/B48</f>
        <v>1.0340420510263442</v>
      </c>
      <c r="O41" t="s">
        <v>150</v>
      </c>
    </row>
    <row r="42" spans="1:16" ht="12.75">
      <c r="A42" t="s">
        <v>55</v>
      </c>
      <c r="B42">
        <f>ROUNDUP(B4*(1+B26/100)/B2,0)</f>
        <v>10</v>
      </c>
      <c r="C42" t="s">
        <v>53</v>
      </c>
      <c r="G42" t="s">
        <v>56</v>
      </c>
      <c r="O42" t="s">
        <v>149</v>
      </c>
      <c r="P42">
        <f>B1*C31*(1-B18/100)</f>
        <v>446.40000000000003</v>
      </c>
    </row>
    <row r="43" spans="1:15" ht="12.75">
      <c r="A43" t="s">
        <v>57</v>
      </c>
      <c r="G43" t="s">
        <v>58</v>
      </c>
      <c r="H43">
        <f aca="true" t="shared" si="3" ref="H43:H48">($B$3*I10)*$H$41+($B$4*P10)*$H$41</f>
        <v>34774.83417601595</v>
      </c>
      <c r="I43" t="s">
        <v>59</v>
      </c>
      <c r="O43" t="s">
        <v>151</v>
      </c>
    </row>
    <row r="44" spans="1:17" ht="12.75">
      <c r="A44" t="s">
        <v>60</v>
      </c>
      <c r="B44">
        <f>(B41*B23*I16*B27)+(B42*B24*P16*B27)</f>
        <v>9296.279999999999</v>
      </c>
      <c r="C44" t="s">
        <v>59</v>
      </c>
      <c r="G44" t="s">
        <v>61</v>
      </c>
      <c r="H44">
        <f t="shared" si="3"/>
        <v>16999.651318873097</v>
      </c>
      <c r="I44" t="s">
        <v>59</v>
      </c>
      <c r="O44" t="s">
        <v>152</v>
      </c>
      <c r="P44">
        <f aca="true" t="shared" si="4" ref="P44:P49">H43/(P$42*B$28)</f>
        <v>69.5541198157001</v>
      </c>
      <c r="Q44">
        <f aca="true" t="shared" si="5" ref="Q44:Q49">CEILING(P44,1)</f>
        <v>70</v>
      </c>
    </row>
    <row r="45" spans="1:17" ht="12.75">
      <c r="A45" t="s">
        <v>62</v>
      </c>
      <c r="G45" t="s">
        <v>63</v>
      </c>
      <c r="H45">
        <f t="shared" si="3"/>
        <v>15076.333103964098</v>
      </c>
      <c r="I45" t="s">
        <v>59</v>
      </c>
      <c r="O45" t="s">
        <v>154</v>
      </c>
      <c r="P45">
        <f t="shared" si="4"/>
        <v>34.00147873238506</v>
      </c>
      <c r="Q45">
        <f t="shared" si="5"/>
        <v>35</v>
      </c>
    </row>
    <row r="46" spans="1:17" ht="12.75">
      <c r="A46" t="s">
        <v>64</v>
      </c>
      <c r="B46">
        <f>B44-B21-B22</f>
        <v>4096.279999999999</v>
      </c>
      <c r="C46" t="s">
        <v>59</v>
      </c>
      <c r="G46" t="s">
        <v>65</v>
      </c>
      <c r="H46">
        <f t="shared" si="3"/>
        <v>22293.94662012798</v>
      </c>
      <c r="I46" t="s">
        <v>59</v>
      </c>
      <c r="O46" t="s">
        <v>155</v>
      </c>
      <c r="P46">
        <f t="shared" si="4"/>
        <v>30.154596102078724</v>
      </c>
      <c r="Q46">
        <f t="shared" si="5"/>
        <v>31</v>
      </c>
    </row>
    <row r="47" spans="1:17" ht="12.75">
      <c r="A47" t="s">
        <v>66</v>
      </c>
      <c r="G47" t="s">
        <v>67</v>
      </c>
      <c r="H47">
        <f t="shared" si="3"/>
        <v>31031.60195130059</v>
      </c>
      <c r="I47" t="s">
        <v>59</v>
      </c>
      <c r="O47" t="s">
        <v>156</v>
      </c>
      <c r="P47">
        <f t="shared" si="4"/>
        <v>44.59074704806703</v>
      </c>
      <c r="Q47">
        <f t="shared" si="5"/>
        <v>45</v>
      </c>
    </row>
    <row r="48" spans="1:17" ht="12.75">
      <c r="A48" t="s">
        <v>68</v>
      </c>
      <c r="B48">
        <f>B3*I16+B4*P16</f>
        <v>120330</v>
      </c>
      <c r="C48" t="s">
        <v>59</v>
      </c>
      <c r="G48" t="s">
        <v>69</v>
      </c>
      <c r="H48">
        <f t="shared" si="3"/>
        <v>4249.912829718274</v>
      </c>
      <c r="I48" t="s">
        <v>59</v>
      </c>
      <c r="O48" t="s">
        <v>157</v>
      </c>
      <c r="P48">
        <f t="shared" si="4"/>
        <v>62.06717620187809</v>
      </c>
      <c r="Q48">
        <f t="shared" si="5"/>
        <v>63</v>
      </c>
    </row>
    <row r="49" spans="1:20" ht="12.75">
      <c r="A49" t="s">
        <v>70</v>
      </c>
      <c r="G49" t="s">
        <v>71</v>
      </c>
      <c r="H49">
        <f>SUM(H43:H48)</f>
        <v>124426.28</v>
      </c>
      <c r="I49" t="s">
        <v>59</v>
      </c>
      <c r="O49" t="s">
        <v>158</v>
      </c>
      <c r="P49">
        <f t="shared" si="4"/>
        <v>8.500369683096265</v>
      </c>
      <c r="Q49">
        <f t="shared" si="5"/>
        <v>9</v>
      </c>
      <c r="S49" t="s">
        <v>180</v>
      </c>
      <c r="T49">
        <f>SUM(Q44:Q49)</f>
        <v>253</v>
      </c>
    </row>
    <row r="50" spans="1:15" ht="12.75">
      <c r="A50" t="s">
        <v>71</v>
      </c>
      <c r="B50">
        <f>B48+B46</f>
        <v>124426.28</v>
      </c>
      <c r="C50" t="s">
        <v>59</v>
      </c>
      <c r="G50" t="s">
        <v>72</v>
      </c>
      <c r="O50" t="s">
        <v>159</v>
      </c>
    </row>
    <row r="51" spans="1:16" ht="12.75">
      <c r="A51" t="s">
        <v>73</v>
      </c>
      <c r="G51" t="s">
        <v>74</v>
      </c>
      <c r="O51" t="s">
        <v>160</v>
      </c>
      <c r="P51" t="s">
        <v>161</v>
      </c>
    </row>
    <row r="52" spans="1:20" ht="12.75">
      <c r="A52" t="s">
        <v>75</v>
      </c>
      <c r="B52" t="s">
        <v>76</v>
      </c>
      <c r="C52" t="s">
        <v>77</v>
      </c>
      <c r="G52" t="s">
        <v>78</v>
      </c>
      <c r="H52">
        <f>B1*C31*C30*(1-0.01*B19)</f>
        <v>962.24</v>
      </c>
      <c r="I52" t="s">
        <v>59</v>
      </c>
      <c r="P52">
        <v>1</v>
      </c>
      <c r="Q52">
        <v>2</v>
      </c>
      <c r="R52">
        <v>3</v>
      </c>
      <c r="S52">
        <v>4</v>
      </c>
      <c r="T52">
        <v>5</v>
      </c>
    </row>
    <row r="53" spans="3:20" ht="12.75">
      <c r="C53" t="s">
        <v>79</v>
      </c>
      <c r="D53" t="s">
        <v>80</v>
      </c>
      <c r="G53" t="s">
        <v>81</v>
      </c>
      <c r="O53">
        <v>1</v>
      </c>
      <c r="P53">
        <f aca="true" t="shared" si="6" ref="P53:T58">($B$3*C10+$B$4*J10)*$H$41</f>
        <v>9782.037802709216</v>
      </c>
      <c r="Q53">
        <f t="shared" si="6"/>
        <v>14807.482170697249</v>
      </c>
      <c r="R53">
        <f t="shared" si="6"/>
        <v>3205.530358181667</v>
      </c>
      <c r="S53">
        <f t="shared" si="6"/>
        <v>6979.783844427823</v>
      </c>
      <c r="T53">
        <f t="shared" si="6"/>
        <v>0</v>
      </c>
    </row>
    <row r="54" spans="1:20" ht="12.75">
      <c r="A54" t="s">
        <v>11</v>
      </c>
      <c r="B54">
        <f>B3</f>
        <v>750</v>
      </c>
      <c r="C54">
        <f>I16</f>
        <v>91</v>
      </c>
      <c r="D54">
        <f>B54*C54</f>
        <v>68250</v>
      </c>
      <c r="G54" t="s">
        <v>82</v>
      </c>
      <c r="H54">
        <f aca="true" t="shared" si="7" ref="H54:H59">H43/$B$28</f>
        <v>31048.959085728526</v>
      </c>
      <c r="I54" t="s">
        <v>59</v>
      </c>
      <c r="O54">
        <v>2</v>
      </c>
      <c r="P54">
        <f t="shared" si="6"/>
        <v>1923.318214909</v>
      </c>
      <c r="Q54">
        <f t="shared" si="6"/>
        <v>6442.081977894124</v>
      </c>
      <c r="R54">
        <f t="shared" si="6"/>
        <v>8634.251126069974</v>
      </c>
      <c r="S54">
        <f t="shared" si="6"/>
        <v>0</v>
      </c>
      <c r="T54">
        <f t="shared" si="6"/>
        <v>0</v>
      </c>
    </row>
    <row r="55" spans="1:20" ht="12.75">
      <c r="A55" t="s">
        <v>12</v>
      </c>
      <c r="B55">
        <f>B4</f>
        <v>620</v>
      </c>
      <c r="C55">
        <f>P16</f>
        <v>84</v>
      </c>
      <c r="D55">
        <f>B55*C55</f>
        <v>52080</v>
      </c>
      <c r="G55" t="s">
        <v>83</v>
      </c>
      <c r="H55">
        <f t="shared" si="7"/>
        <v>15178.260106136691</v>
      </c>
      <c r="I55" t="s">
        <v>59</v>
      </c>
      <c r="O55">
        <v>3</v>
      </c>
      <c r="P55">
        <f t="shared" si="6"/>
        <v>4384.3382963517</v>
      </c>
      <c r="Q55">
        <f t="shared" si="6"/>
        <v>8127.570521067065</v>
      </c>
      <c r="R55">
        <f t="shared" si="6"/>
        <v>2564.4242865453334</v>
      </c>
      <c r="S55">
        <f t="shared" si="6"/>
        <v>0</v>
      </c>
      <c r="T55">
        <f t="shared" si="6"/>
        <v>0</v>
      </c>
    </row>
    <row r="56" spans="7:20" ht="12.75">
      <c r="G56" t="s">
        <v>84</v>
      </c>
      <c r="H56">
        <f t="shared" si="7"/>
        <v>13461.011699967943</v>
      </c>
      <c r="I56" t="s">
        <v>59</v>
      </c>
      <c r="O56">
        <v>4</v>
      </c>
      <c r="P56">
        <f t="shared" si="6"/>
        <v>0</v>
      </c>
      <c r="Q56">
        <f t="shared" si="6"/>
        <v>0</v>
      </c>
      <c r="R56">
        <f t="shared" si="6"/>
        <v>12884.163955788248</v>
      </c>
      <c r="S56">
        <f t="shared" si="6"/>
        <v>9409.782664339731</v>
      </c>
      <c r="T56">
        <f t="shared" si="6"/>
        <v>0</v>
      </c>
    </row>
    <row r="57" spans="7:20" ht="12.75">
      <c r="G57" t="s">
        <v>85</v>
      </c>
      <c r="H57">
        <f t="shared" si="7"/>
        <v>19905.309482257122</v>
      </c>
      <c r="I57" t="s">
        <v>59</v>
      </c>
      <c r="O57">
        <v>5</v>
      </c>
      <c r="P57">
        <f t="shared" si="6"/>
        <v>0</v>
      </c>
      <c r="Q57">
        <f t="shared" si="6"/>
        <v>0</v>
      </c>
      <c r="R57">
        <f t="shared" si="6"/>
        <v>21890.670220227705</v>
      </c>
      <c r="S57">
        <f t="shared" si="6"/>
        <v>9140.931731072882</v>
      </c>
      <c r="T57">
        <f t="shared" si="6"/>
        <v>0</v>
      </c>
    </row>
    <row r="58" spans="7:20" ht="12.75">
      <c r="G58" t="s">
        <v>86</v>
      </c>
      <c r="H58">
        <f t="shared" si="7"/>
        <v>27706.78745651838</v>
      </c>
      <c r="I58" t="s">
        <v>59</v>
      </c>
      <c r="O58">
        <v>6</v>
      </c>
      <c r="P58">
        <f t="shared" si="6"/>
        <v>0</v>
      </c>
      <c r="Q58">
        <f t="shared" si="6"/>
        <v>0</v>
      </c>
      <c r="R58">
        <f t="shared" si="6"/>
        <v>0</v>
      </c>
      <c r="S58">
        <f t="shared" si="6"/>
        <v>0</v>
      </c>
      <c r="T58">
        <f t="shared" si="6"/>
        <v>4249.912829718274</v>
      </c>
    </row>
    <row r="59" spans="7:15" ht="12.75">
      <c r="G59" t="s">
        <v>87</v>
      </c>
      <c r="H59">
        <f t="shared" si="7"/>
        <v>3794.565026534173</v>
      </c>
      <c r="I59" t="s">
        <v>59</v>
      </c>
      <c r="O59" t="s">
        <v>162</v>
      </c>
    </row>
    <row r="60" spans="7:20" ht="12.75">
      <c r="G60" t="s">
        <v>88</v>
      </c>
      <c r="K60" t="s">
        <v>144</v>
      </c>
      <c r="P60">
        <v>1</v>
      </c>
      <c r="Q60">
        <v>2</v>
      </c>
      <c r="R60">
        <v>3</v>
      </c>
      <c r="S60">
        <v>4</v>
      </c>
      <c r="T60">
        <v>5</v>
      </c>
    </row>
    <row r="61" spans="7:20" ht="12.75">
      <c r="G61" t="s">
        <v>89</v>
      </c>
      <c r="H61">
        <f aca="true" t="shared" si="8" ref="H61:H66">H54/H$52</f>
        <v>32.26737517223201</v>
      </c>
      <c r="I61">
        <f aca="true" t="shared" si="9" ref="I61:I66">ROUNDUP(H61,0)</f>
        <v>33</v>
      </c>
      <c r="J61" t="s">
        <v>53</v>
      </c>
      <c r="K61">
        <f aca="true" t="shared" si="10" ref="K61:K66">H61/I61</f>
        <v>0.9777992476433942</v>
      </c>
      <c r="M61" t="s">
        <v>145</v>
      </c>
      <c r="N61">
        <f>SUM(H61:H66)/SUM(I61:I66)</f>
        <v>0.9867901966027172</v>
      </c>
      <c r="O61">
        <v>1</v>
      </c>
      <c r="P61">
        <f aca="true" t="shared" si="11" ref="P61:T66">CEILING(P53/($P$42*$B$28),1)</f>
        <v>20</v>
      </c>
      <c r="Q61">
        <f t="shared" si="11"/>
        <v>30</v>
      </c>
      <c r="R61">
        <f t="shared" si="11"/>
        <v>7</v>
      </c>
      <c r="S61">
        <f t="shared" si="11"/>
        <v>14</v>
      </c>
      <c r="T61">
        <f t="shared" si="11"/>
        <v>0</v>
      </c>
    </row>
    <row r="62" spans="7:20" ht="12.75">
      <c r="G62" t="s">
        <v>90</v>
      </c>
      <c r="H62">
        <f t="shared" si="8"/>
        <v>15.773881886158017</v>
      </c>
      <c r="I62">
        <f t="shared" si="9"/>
        <v>16</v>
      </c>
      <c r="J62" t="s">
        <v>53</v>
      </c>
      <c r="K62">
        <f t="shared" si="10"/>
        <v>0.9858676178848761</v>
      </c>
      <c r="O62">
        <v>2</v>
      </c>
      <c r="P62">
        <f t="shared" si="11"/>
        <v>4</v>
      </c>
      <c r="Q62">
        <f t="shared" si="11"/>
        <v>13</v>
      </c>
      <c r="R62">
        <f t="shared" si="11"/>
        <v>18</v>
      </c>
      <c r="S62">
        <f t="shared" si="11"/>
        <v>0</v>
      </c>
      <c r="T62">
        <f t="shared" si="11"/>
        <v>0</v>
      </c>
    </row>
    <row r="63" spans="7:20" ht="12.75">
      <c r="G63" t="s">
        <v>91</v>
      </c>
      <c r="H63">
        <f t="shared" si="8"/>
        <v>13.98924561436642</v>
      </c>
      <c r="I63">
        <f t="shared" si="9"/>
        <v>14</v>
      </c>
      <c r="J63" t="s">
        <v>53</v>
      </c>
      <c r="K63">
        <f t="shared" si="10"/>
        <v>0.9992318295976014</v>
      </c>
      <c r="O63">
        <v>3</v>
      </c>
      <c r="P63">
        <f t="shared" si="11"/>
        <v>9</v>
      </c>
      <c r="Q63">
        <f t="shared" si="11"/>
        <v>17</v>
      </c>
      <c r="R63">
        <f t="shared" si="11"/>
        <v>6</v>
      </c>
      <c r="S63">
        <f t="shared" si="11"/>
        <v>0</v>
      </c>
      <c r="T63">
        <f t="shared" si="11"/>
        <v>0</v>
      </c>
    </row>
    <row r="64" spans="7:20" ht="12.75">
      <c r="G64" t="s">
        <v>92</v>
      </c>
      <c r="H64">
        <f t="shared" si="8"/>
        <v>20.686429042917695</v>
      </c>
      <c r="I64">
        <f t="shared" si="9"/>
        <v>21</v>
      </c>
      <c r="J64" t="s">
        <v>53</v>
      </c>
      <c r="K64">
        <f t="shared" si="10"/>
        <v>0.9850680496627474</v>
      </c>
      <c r="O64">
        <v>4</v>
      </c>
      <c r="P64">
        <f t="shared" si="11"/>
        <v>0</v>
      </c>
      <c r="Q64">
        <f t="shared" si="11"/>
        <v>0</v>
      </c>
      <c r="R64">
        <f t="shared" si="11"/>
        <v>26</v>
      </c>
      <c r="S64">
        <f t="shared" si="11"/>
        <v>19</v>
      </c>
      <c r="T64">
        <f t="shared" si="11"/>
        <v>0</v>
      </c>
    </row>
    <row r="65" spans="7:20" ht="12.75">
      <c r="G65" t="s">
        <v>93</v>
      </c>
      <c r="H65">
        <f t="shared" si="8"/>
        <v>28.79405081530427</v>
      </c>
      <c r="I65">
        <f t="shared" si="9"/>
        <v>29</v>
      </c>
      <c r="J65" t="s">
        <v>53</v>
      </c>
      <c r="K65">
        <f t="shared" si="10"/>
        <v>0.9928983039760093</v>
      </c>
      <c r="O65">
        <v>5</v>
      </c>
      <c r="P65">
        <f t="shared" si="11"/>
        <v>0</v>
      </c>
      <c r="Q65">
        <f t="shared" si="11"/>
        <v>0</v>
      </c>
      <c r="R65">
        <f t="shared" si="11"/>
        <v>44</v>
      </c>
      <c r="S65">
        <f t="shared" si="11"/>
        <v>19</v>
      </c>
      <c r="T65">
        <f t="shared" si="11"/>
        <v>0</v>
      </c>
    </row>
    <row r="66" spans="7:20" ht="12.75">
      <c r="G66" t="s">
        <v>94</v>
      </c>
      <c r="H66">
        <f t="shared" si="8"/>
        <v>3.9434704715395044</v>
      </c>
      <c r="I66">
        <f t="shared" si="9"/>
        <v>4</v>
      </c>
      <c r="J66" t="s">
        <v>53</v>
      </c>
      <c r="K66">
        <f t="shared" si="10"/>
        <v>0.9858676178848761</v>
      </c>
      <c r="O66">
        <v>6</v>
      </c>
      <c r="P66">
        <f t="shared" si="11"/>
        <v>0</v>
      </c>
      <c r="Q66">
        <f t="shared" si="11"/>
        <v>0</v>
      </c>
      <c r="R66">
        <f t="shared" si="11"/>
        <v>0</v>
      </c>
      <c r="S66">
        <f t="shared" si="11"/>
        <v>0</v>
      </c>
      <c r="T66">
        <f t="shared" si="11"/>
        <v>9</v>
      </c>
    </row>
    <row r="67" spans="7:15" ht="12.75">
      <c r="G67" t="s">
        <v>95</v>
      </c>
      <c r="O67" t="s">
        <v>163</v>
      </c>
    </row>
    <row r="68" spans="7:15" ht="12.75">
      <c r="G68" t="s">
        <v>8</v>
      </c>
      <c r="H68" t="s">
        <v>96</v>
      </c>
      <c r="J68" t="s">
        <v>97</v>
      </c>
      <c r="K68" t="s">
        <v>98</v>
      </c>
      <c r="L68" t="s">
        <v>99</v>
      </c>
      <c r="M68" t="s">
        <v>100</v>
      </c>
      <c r="O68" t="s">
        <v>164</v>
      </c>
    </row>
    <row r="69" spans="7:20" ht="12.75">
      <c r="G69">
        <v>1</v>
      </c>
      <c r="H69" s="4" t="s">
        <v>101</v>
      </c>
      <c r="I69" s="4"/>
      <c r="J69">
        <v>2</v>
      </c>
      <c r="L69">
        <v>1</v>
      </c>
      <c r="M69">
        <f aca="true" t="shared" si="12" ref="M69:M74">SUM(J69:L69)</f>
        <v>3</v>
      </c>
      <c r="O69" t="s">
        <v>160</v>
      </c>
      <c r="P69">
        <v>1</v>
      </c>
      <c r="Q69">
        <v>2</v>
      </c>
      <c r="R69">
        <v>3</v>
      </c>
      <c r="S69">
        <v>4</v>
      </c>
      <c r="T69">
        <v>5</v>
      </c>
    </row>
    <row r="70" spans="7:20" ht="12.75">
      <c r="G70">
        <v>2</v>
      </c>
      <c r="H70" s="4" t="s">
        <v>102</v>
      </c>
      <c r="I70" s="4"/>
      <c r="J70">
        <v>1</v>
      </c>
      <c r="L70">
        <v>1</v>
      </c>
      <c r="M70">
        <f t="shared" si="12"/>
        <v>2</v>
      </c>
      <c r="O70" t="s">
        <v>165</v>
      </c>
      <c r="P70">
        <f>SUM(P53:P57)</f>
        <v>16089.694313969916</v>
      </c>
      <c r="Q70">
        <f>SUM(Q53:Q57)</f>
        <v>29377.134669658437</v>
      </c>
      <c r="R70">
        <f>SUM(R53:R57)</f>
        <v>49179.03994681293</v>
      </c>
      <c r="S70">
        <f>SUM(S53:S57)</f>
        <v>25530.49823984044</v>
      </c>
      <c r="T70">
        <f>SUM(T53:T57)</f>
        <v>0</v>
      </c>
    </row>
    <row r="71" spans="7:20" ht="12.75">
      <c r="G71">
        <v>3</v>
      </c>
      <c r="H71" s="4" t="s">
        <v>103</v>
      </c>
      <c r="I71" s="4"/>
      <c r="J71">
        <v>1</v>
      </c>
      <c r="L71">
        <v>1</v>
      </c>
      <c r="M71">
        <f t="shared" si="12"/>
        <v>2</v>
      </c>
      <c r="O71" t="s">
        <v>166</v>
      </c>
      <c r="P71">
        <f>SUM(P58:P58)</f>
        <v>0</v>
      </c>
      <c r="Q71">
        <f>SUM(Q58:Q58)</f>
        <v>0</v>
      </c>
      <c r="R71">
        <f>SUM(R58:R58)</f>
        <v>0</v>
      </c>
      <c r="S71">
        <f>SUM(S58:S58)</f>
        <v>0</v>
      </c>
      <c r="T71">
        <f>SUM(T58:T58)</f>
        <v>4249.912829718274</v>
      </c>
    </row>
    <row r="72" spans="7:15" ht="12.75">
      <c r="G72">
        <v>4</v>
      </c>
      <c r="H72" s="4" t="s">
        <v>104</v>
      </c>
      <c r="I72" s="4"/>
      <c r="J72">
        <v>1</v>
      </c>
      <c r="L72">
        <v>1</v>
      </c>
      <c r="M72">
        <f t="shared" si="12"/>
        <v>2</v>
      </c>
      <c r="O72" t="s">
        <v>167</v>
      </c>
    </row>
    <row r="73" spans="7:20" ht="12.75">
      <c r="G73">
        <v>5</v>
      </c>
      <c r="H73" s="4" t="s">
        <v>105</v>
      </c>
      <c r="I73" s="4"/>
      <c r="K73">
        <v>6</v>
      </c>
      <c r="M73">
        <f t="shared" si="12"/>
        <v>6</v>
      </c>
      <c r="P73">
        <v>1</v>
      </c>
      <c r="Q73">
        <v>2</v>
      </c>
      <c r="R73">
        <v>3</v>
      </c>
      <c r="S73">
        <v>4</v>
      </c>
      <c r="T73">
        <v>5</v>
      </c>
    </row>
    <row r="74" spans="7:20" ht="12.75">
      <c r="G74">
        <v>6</v>
      </c>
      <c r="H74" s="4" t="s">
        <v>106</v>
      </c>
      <c r="I74" s="4"/>
      <c r="J74">
        <v>3</v>
      </c>
      <c r="L74">
        <v>7</v>
      </c>
      <c r="M74">
        <f t="shared" si="12"/>
        <v>10</v>
      </c>
      <c r="O74" t="s">
        <v>165</v>
      </c>
      <c r="P74">
        <v>0.539</v>
      </c>
      <c r="Q74">
        <v>0.586</v>
      </c>
      <c r="R74">
        <v>0.648</v>
      </c>
      <c r="S74">
        <v>0.717</v>
      </c>
      <c r="T74">
        <v>0.807</v>
      </c>
    </row>
    <row r="75" spans="9:20" ht="12.75">
      <c r="I75" t="s">
        <v>13</v>
      </c>
      <c r="J75">
        <f>SUM(J69:J74)</f>
        <v>8</v>
      </c>
      <c r="K75">
        <f>SUM(K69:K74)</f>
        <v>6</v>
      </c>
      <c r="L75">
        <f>SUM(L69:L74)</f>
        <v>11</v>
      </c>
      <c r="M75">
        <f>SUM(M69:M74)</f>
        <v>25</v>
      </c>
      <c r="O75" t="s">
        <v>166</v>
      </c>
      <c r="P75">
        <v>0.479</v>
      </c>
      <c r="Q75">
        <v>0.521</v>
      </c>
      <c r="R75">
        <v>0.566</v>
      </c>
      <c r="S75">
        <v>0.637</v>
      </c>
      <c r="T75">
        <v>0.717</v>
      </c>
    </row>
    <row r="76" spans="7:15" ht="12.75">
      <c r="G76" t="s">
        <v>107</v>
      </c>
      <c r="O76" t="s">
        <v>168</v>
      </c>
    </row>
    <row r="77" spans="7:21" ht="12.75">
      <c r="G77" t="s">
        <v>96</v>
      </c>
      <c r="I77" t="s">
        <v>108</v>
      </c>
      <c r="J77" t="s">
        <v>109</v>
      </c>
      <c r="K77" t="s">
        <v>110</v>
      </c>
      <c r="L77" t="s">
        <v>111</v>
      </c>
      <c r="M77" t="s">
        <v>146</v>
      </c>
      <c r="N77" t="s">
        <v>147</v>
      </c>
      <c r="P77">
        <v>1</v>
      </c>
      <c r="Q77">
        <v>2</v>
      </c>
      <c r="R77">
        <v>3</v>
      </c>
      <c r="S77">
        <v>4</v>
      </c>
      <c r="T77">
        <v>5</v>
      </c>
      <c r="U77" t="s">
        <v>13</v>
      </c>
    </row>
    <row r="78" spans="7:21" ht="12.75">
      <c r="G78" t="s">
        <v>101</v>
      </c>
      <c r="I78">
        <v>1680</v>
      </c>
      <c r="J78">
        <f>I61</f>
        <v>33</v>
      </c>
      <c r="K78">
        <f>M69</f>
        <v>3</v>
      </c>
      <c r="L78">
        <f aca="true" t="shared" si="13" ref="L78:L86">I78*(J78+K78)</f>
        <v>60480</v>
      </c>
      <c r="M78">
        <f>I78*J78</f>
        <v>55440</v>
      </c>
      <c r="N78">
        <f>I78*K78</f>
        <v>5040</v>
      </c>
      <c r="O78" t="s">
        <v>165</v>
      </c>
      <c r="P78">
        <f aca="true" t="shared" si="14" ref="P78:T79">P70*P74</f>
        <v>8672.345235229785</v>
      </c>
      <c r="Q78">
        <f t="shared" si="14"/>
        <v>17215.00091641984</v>
      </c>
      <c r="R78">
        <f t="shared" si="14"/>
        <v>31868.01788553478</v>
      </c>
      <c r="S78">
        <f t="shared" si="14"/>
        <v>18305.367237965595</v>
      </c>
      <c r="T78">
        <f t="shared" si="14"/>
        <v>0</v>
      </c>
      <c r="U78">
        <f>SUM(P78:T78)</f>
        <v>76060.73127515</v>
      </c>
    </row>
    <row r="79" spans="7:21" ht="12.75">
      <c r="G79" t="s">
        <v>112</v>
      </c>
      <c r="I79">
        <v>2250</v>
      </c>
      <c r="J79">
        <f>I62</f>
        <v>16</v>
      </c>
      <c r="L79">
        <f t="shared" si="13"/>
        <v>36000</v>
      </c>
      <c r="M79">
        <f aca="true" t="shared" si="15" ref="M79:M86">I79*J79</f>
        <v>36000</v>
      </c>
      <c r="N79">
        <f aca="true" t="shared" si="16" ref="N79:N86">I79*K79</f>
        <v>0</v>
      </c>
      <c r="O79" t="s">
        <v>166</v>
      </c>
      <c r="P79">
        <f t="shared" si="14"/>
        <v>0</v>
      </c>
      <c r="Q79">
        <f t="shared" si="14"/>
        <v>0</v>
      </c>
      <c r="R79">
        <f t="shared" si="14"/>
        <v>0</v>
      </c>
      <c r="S79">
        <f t="shared" si="14"/>
        <v>0</v>
      </c>
      <c r="T79">
        <f t="shared" si="14"/>
        <v>3047.1874989080025</v>
      </c>
      <c r="U79">
        <f>SUM(P79:T79)</f>
        <v>3047.1874989080025</v>
      </c>
    </row>
    <row r="80" spans="7:21" ht="12.75">
      <c r="G80" t="s">
        <v>113</v>
      </c>
      <c r="I80">
        <v>2100</v>
      </c>
      <c r="J80">
        <f>I63</f>
        <v>14</v>
      </c>
      <c r="K80">
        <f>M71</f>
        <v>2</v>
      </c>
      <c r="L80">
        <f t="shared" si="13"/>
        <v>33600</v>
      </c>
      <c r="M80">
        <f t="shared" si="15"/>
        <v>29400</v>
      </c>
      <c r="N80">
        <f t="shared" si="16"/>
        <v>4200</v>
      </c>
      <c r="U80">
        <f>SUM(U78:U79)</f>
        <v>79107.918774058</v>
      </c>
    </row>
    <row r="81" spans="7:15" ht="12.75">
      <c r="G81" t="s">
        <v>114</v>
      </c>
      <c r="I81">
        <v>720</v>
      </c>
      <c r="J81">
        <f>I64</f>
        <v>21</v>
      </c>
      <c r="K81">
        <f>M70</f>
        <v>2</v>
      </c>
      <c r="L81">
        <f t="shared" si="13"/>
        <v>16560</v>
      </c>
      <c r="M81">
        <f t="shared" si="15"/>
        <v>15120</v>
      </c>
      <c r="N81">
        <f t="shared" si="16"/>
        <v>1440</v>
      </c>
      <c r="O81" t="s">
        <v>169</v>
      </c>
    </row>
    <row r="82" spans="1:17" ht="12.75">
      <c r="A82" s="5"/>
      <c r="B82" s="5"/>
      <c r="C82" s="5"/>
      <c r="D82" s="5"/>
      <c r="E82" s="5"/>
      <c r="F82" s="3"/>
      <c r="G82" s="3" t="s">
        <v>18</v>
      </c>
      <c r="H82" s="3"/>
      <c r="I82" s="3">
        <v>1000</v>
      </c>
      <c r="J82" s="3">
        <f>I65</f>
        <v>29</v>
      </c>
      <c r="K82">
        <f>M72</f>
        <v>2</v>
      </c>
      <c r="L82">
        <f t="shared" si="13"/>
        <v>31000</v>
      </c>
      <c r="M82">
        <f t="shared" si="15"/>
        <v>29000</v>
      </c>
      <c r="N82">
        <f t="shared" si="16"/>
        <v>2000</v>
      </c>
      <c r="O82" t="s">
        <v>170</v>
      </c>
      <c r="P82">
        <f>U80/B48*100</f>
        <v>65.74247384198287</v>
      </c>
      <c r="Q82" t="s">
        <v>171</v>
      </c>
    </row>
    <row r="83" spans="1:15" ht="12.75">
      <c r="A83" s="3"/>
      <c r="B83" s="3"/>
      <c r="C83" s="3"/>
      <c r="D83" s="3"/>
      <c r="E83" s="3"/>
      <c r="F83" s="3"/>
      <c r="G83" s="3" t="s">
        <v>115</v>
      </c>
      <c r="H83" s="3"/>
      <c r="I83" s="3">
        <v>2500</v>
      </c>
      <c r="J83" s="3"/>
      <c r="L83">
        <f t="shared" si="13"/>
        <v>0</v>
      </c>
      <c r="M83">
        <f t="shared" si="15"/>
        <v>0</v>
      </c>
      <c r="N83">
        <f t="shared" si="16"/>
        <v>0</v>
      </c>
      <c r="O83" t="s">
        <v>173</v>
      </c>
    </row>
    <row r="84" spans="1:17" ht="12.75">
      <c r="A84" s="3"/>
      <c r="B84" s="3"/>
      <c r="C84" s="3"/>
      <c r="D84" s="3"/>
      <c r="E84" s="3"/>
      <c r="F84" s="3"/>
      <c r="G84" s="3" t="s">
        <v>116</v>
      </c>
      <c r="H84" s="3"/>
      <c r="I84" s="3">
        <v>12000</v>
      </c>
      <c r="J84" s="3"/>
      <c r="L84">
        <f t="shared" si="13"/>
        <v>0</v>
      </c>
      <c r="M84">
        <f t="shared" si="15"/>
        <v>0</v>
      </c>
      <c r="N84">
        <f t="shared" si="16"/>
        <v>0</v>
      </c>
      <c r="O84" t="s">
        <v>172</v>
      </c>
      <c r="P84">
        <f>P82/100*B50</f>
        <v>81800.91458155237</v>
      </c>
      <c r="Q84" t="s">
        <v>119</v>
      </c>
    </row>
    <row r="85" spans="1:15" ht="12.75">
      <c r="A85" s="3"/>
      <c r="B85" s="3"/>
      <c r="C85" s="3"/>
      <c r="D85" s="3"/>
      <c r="E85" s="3"/>
      <c r="F85" s="3"/>
      <c r="G85" s="3" t="s">
        <v>117</v>
      </c>
      <c r="H85" s="3"/>
      <c r="I85" s="3">
        <v>720</v>
      </c>
      <c r="J85" s="3"/>
      <c r="K85">
        <f>M73</f>
        <v>6</v>
      </c>
      <c r="L85">
        <f t="shared" si="13"/>
        <v>4320</v>
      </c>
      <c r="M85">
        <f t="shared" si="15"/>
        <v>0</v>
      </c>
      <c r="N85">
        <f t="shared" si="16"/>
        <v>4320</v>
      </c>
      <c r="O85" t="s">
        <v>174</v>
      </c>
    </row>
    <row r="86" spans="1:17" ht="12.75">
      <c r="A86" s="3"/>
      <c r="B86" s="3"/>
      <c r="C86" s="3"/>
      <c r="D86" s="3"/>
      <c r="E86" s="3"/>
      <c r="F86" s="3"/>
      <c r="G86" s="3" t="s">
        <v>118</v>
      </c>
      <c r="H86" s="3"/>
      <c r="I86" s="3">
        <v>60</v>
      </c>
      <c r="J86" s="3">
        <f>I66</f>
        <v>4</v>
      </c>
      <c r="K86">
        <f>M74</f>
        <v>10</v>
      </c>
      <c r="L86">
        <f t="shared" si="13"/>
        <v>840</v>
      </c>
      <c r="M86">
        <f t="shared" si="15"/>
        <v>240</v>
      </c>
      <c r="N86">
        <f t="shared" si="16"/>
        <v>600</v>
      </c>
      <c r="O86" t="s">
        <v>175</v>
      </c>
      <c r="P86">
        <f>P84*1.28</f>
        <v>104705.17066438703</v>
      </c>
      <c r="Q86" t="s">
        <v>119</v>
      </c>
    </row>
    <row r="87" spans="1:15" ht="12.75">
      <c r="A87" s="3"/>
      <c r="B87" s="3"/>
      <c r="C87" s="3"/>
      <c r="D87" s="3"/>
      <c r="E87" s="3"/>
      <c r="F87" s="3"/>
      <c r="G87" s="3" t="s">
        <v>13</v>
      </c>
      <c r="H87" s="3"/>
      <c r="I87" s="3"/>
      <c r="J87" s="3"/>
      <c r="L87">
        <f>SUM(L78:L86)</f>
        <v>182800</v>
      </c>
      <c r="M87">
        <f>SUM(M78:M86)</f>
        <v>165200</v>
      </c>
      <c r="N87">
        <f>SUM(N78:N86)</f>
        <v>17600</v>
      </c>
      <c r="O87" t="s">
        <v>176</v>
      </c>
    </row>
    <row r="88" spans="1:17" ht="12.75">
      <c r="A88" s="3"/>
      <c r="B88" s="3"/>
      <c r="C88" s="3"/>
      <c r="D88" s="3"/>
      <c r="E88" s="3"/>
      <c r="F88" s="3"/>
      <c r="G88" s="3" t="s">
        <v>120</v>
      </c>
      <c r="H88" s="3"/>
      <c r="I88" s="3"/>
      <c r="J88" s="3"/>
      <c r="O88" t="s">
        <v>177</v>
      </c>
      <c r="P88">
        <f>P84*1.39</f>
        <v>113703.27126835778</v>
      </c>
      <c r="Q88" t="s">
        <v>119</v>
      </c>
    </row>
    <row r="89" spans="1:15" ht="12.75">
      <c r="A89" s="5" t="s">
        <v>121</v>
      </c>
      <c r="B89" s="5"/>
      <c r="C89" s="5"/>
      <c r="D89" s="5"/>
      <c r="E89" s="5"/>
      <c r="F89" s="3"/>
      <c r="G89" s="3" t="s">
        <v>122</v>
      </c>
      <c r="H89" s="3">
        <f>(SUM(I61:I65)+SUM(M69:M73))*9+(I66+M74)*5</f>
        <v>1222</v>
      </c>
      <c r="I89" s="3" t="s">
        <v>123</v>
      </c>
      <c r="J89" s="3"/>
      <c r="O89" t="s">
        <v>178</v>
      </c>
    </row>
    <row r="90" spans="7:17" ht="12.75">
      <c r="G90" t="s">
        <v>124</v>
      </c>
      <c r="H90">
        <f>H89*0.25</f>
        <v>305.5</v>
      </c>
      <c r="I90" t="s">
        <v>123</v>
      </c>
      <c r="O90" t="s">
        <v>179</v>
      </c>
      <c r="P90">
        <f>B50/T49</f>
        <v>491.80347826086955</v>
      </c>
      <c r="Q90" t="s">
        <v>59</v>
      </c>
    </row>
    <row r="91" spans="7:15" ht="12.75">
      <c r="G91" t="s">
        <v>125</v>
      </c>
      <c r="H91">
        <f>H89*0.4</f>
        <v>488.8</v>
      </c>
      <c r="I91" t="s">
        <v>123</v>
      </c>
      <c r="O91" t="s">
        <v>181</v>
      </c>
    </row>
    <row r="92" spans="7:17" ht="12.75">
      <c r="G92" t="s">
        <v>126</v>
      </c>
      <c r="H92">
        <f>H89*0.2</f>
        <v>244.4</v>
      </c>
      <c r="I92" t="s">
        <v>123</v>
      </c>
      <c r="O92" t="s">
        <v>182</v>
      </c>
      <c r="P92">
        <f>(1.05*P88)/(3*T49)</f>
        <v>157.29701558863727</v>
      </c>
      <c r="Q92" t="s">
        <v>119</v>
      </c>
    </row>
    <row r="93" spans="7:9" ht="12.75">
      <c r="G93" t="s">
        <v>127</v>
      </c>
      <c r="H93">
        <f>SUM(H89:H92)</f>
        <v>2260.7</v>
      </c>
      <c r="I93" t="s">
        <v>123</v>
      </c>
    </row>
    <row r="94" ht="12.75">
      <c r="G94" t="s">
        <v>128</v>
      </c>
    </row>
    <row r="95" spans="7:12" ht="12.75">
      <c r="G95" t="s">
        <v>129</v>
      </c>
      <c r="H95">
        <f>(H89+H90+H92)*K95</f>
        <v>7087.6</v>
      </c>
      <c r="I95" t="s">
        <v>130</v>
      </c>
      <c r="J95" t="s">
        <v>131</v>
      </c>
      <c r="K95">
        <v>4</v>
      </c>
      <c r="L95" t="s">
        <v>132</v>
      </c>
    </row>
    <row r="96" spans="7:12" ht="12.75">
      <c r="G96" t="s">
        <v>133</v>
      </c>
      <c r="H96">
        <f>H91*3</f>
        <v>1466.4</v>
      </c>
      <c r="I96" t="s">
        <v>130</v>
      </c>
      <c r="J96" t="s">
        <v>134</v>
      </c>
      <c r="K96">
        <v>10</v>
      </c>
      <c r="L96" t="s">
        <v>119</v>
      </c>
    </row>
    <row r="97" spans="7:12" ht="12.75">
      <c r="G97" t="s">
        <v>135</v>
      </c>
      <c r="H97">
        <f>H95*K96+H96*K97</f>
        <v>87006.4</v>
      </c>
      <c r="I97" t="s">
        <v>136</v>
      </c>
      <c r="J97" t="s">
        <v>137</v>
      </c>
      <c r="K97">
        <v>11</v>
      </c>
      <c r="L97" t="s">
        <v>119</v>
      </c>
    </row>
    <row r="98" spans="7:9" ht="12.75">
      <c r="G98" t="s">
        <v>138</v>
      </c>
      <c r="H98">
        <f>L87</f>
        <v>182800</v>
      </c>
      <c r="I98" t="s">
        <v>136</v>
      </c>
    </row>
    <row r="99" spans="7:9" ht="12.75">
      <c r="G99" t="s">
        <v>139</v>
      </c>
      <c r="H99">
        <v>540</v>
      </c>
      <c r="I99" t="s">
        <v>136</v>
      </c>
    </row>
    <row r="100" spans="7:11" ht="12.75">
      <c r="G100" t="s">
        <v>140</v>
      </c>
      <c r="H100">
        <f>H98*K100</f>
        <v>22850</v>
      </c>
      <c r="I100" t="s">
        <v>136</v>
      </c>
      <c r="J100" t="s">
        <v>141</v>
      </c>
      <c r="K100" s="2">
        <v>0.125</v>
      </c>
    </row>
    <row r="101" spans="7:11" ht="12.75">
      <c r="G101" t="s">
        <v>142</v>
      </c>
      <c r="H101">
        <f>K101*H98</f>
        <v>16452</v>
      </c>
      <c r="I101" t="s">
        <v>136</v>
      </c>
      <c r="J101" t="s">
        <v>141</v>
      </c>
      <c r="K101">
        <v>0.09</v>
      </c>
    </row>
    <row r="102" spans="7:9" ht="12.75">
      <c r="G102" t="s">
        <v>143</v>
      </c>
      <c r="H102">
        <f>SUM(H97:H101)</f>
        <v>309648.4</v>
      </c>
      <c r="I102" t="s">
        <v>136</v>
      </c>
    </row>
  </sheetData>
  <sheetProtection selectLockedCells="1" selectUnlockedCells="1"/>
  <mergeCells count="19">
    <mergeCell ref="H71:I71"/>
    <mergeCell ref="A7:A9"/>
    <mergeCell ref="B7:B9"/>
    <mergeCell ref="C7:P7"/>
    <mergeCell ref="C8:I8"/>
    <mergeCell ref="J8:P8"/>
    <mergeCell ref="A33:A34"/>
    <mergeCell ref="B33:C34"/>
    <mergeCell ref="D33:E33"/>
    <mergeCell ref="H72:I72"/>
    <mergeCell ref="H73:I73"/>
    <mergeCell ref="H74:I74"/>
    <mergeCell ref="A82:E82"/>
    <mergeCell ref="A89:E89"/>
    <mergeCell ref="B35:C35"/>
    <mergeCell ref="B36:C36"/>
    <mergeCell ref="B37:C37"/>
    <mergeCell ref="H69:I69"/>
    <mergeCell ref="H70:I7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</dc:creator>
  <cp:keywords/>
  <dc:description/>
  <cp:lastModifiedBy>Володарский</cp:lastModifiedBy>
  <dcterms:created xsi:type="dcterms:W3CDTF">2010-10-10T04:23:26Z</dcterms:created>
  <dcterms:modified xsi:type="dcterms:W3CDTF">2010-10-10T04:23:26Z</dcterms:modified>
  <cp:category/>
  <cp:version/>
  <cp:contentType/>
  <cp:contentStatus/>
</cp:coreProperties>
</file>