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4" windowHeight="8192" tabRatio="518" activeTab="7"/>
  </bookViews>
  <sheets>
    <sheet name="Main_Sheet" sheetId="1" r:id="rId1"/>
    <sheet name="Magic" sheetId="2" r:id="rId2"/>
    <sheet name="Adept Powers" sheetId="3" state="hidden" r:id="rId3"/>
    <sheet name="Technomancer" sheetId="4" r:id="rId4"/>
    <sheet name="Cyberware_Bioware" sheetId="5" r:id="rId5"/>
    <sheet name="Cyberparts" sheetId="6" r:id="rId6"/>
    <sheet name="Ware Lists" sheetId="7" state="hidden" r:id="rId7"/>
    <sheet name="Gear" sheetId="8" r:id="rId8"/>
    <sheet name="Sheet1" sheetId="9" state="hidden" r:id="rId9"/>
  </sheets>
  <definedNames>
    <definedName name="_xlnm.Print_Area" localSheetId="0">'Main_Sheet'!$A$1:$U$46</definedName>
    <definedName name="Adept">'Adept Powers'!$A$2:$A$76</definedName>
    <definedName name="Basic_Bioware">'Ware Lists'!$A$75:$A$91</definedName>
    <definedName name="Bodyware">'Ware Lists'!$A$38:$A$53</definedName>
    <definedName name="Clout_House_Rule">'Main_Sheet'!$AC$15</definedName>
    <definedName name="Complete_Adept_Powers_Table">'Adept Powers'!$A:$P</definedName>
    <definedName name="Complete_CyberAccessories">'Ware Lists'!$A$136:$F$197</definedName>
    <definedName name="Complete_Cyberparts">'Ware Lists'!$A$105:$F$197</definedName>
    <definedName name="Complete_Foci_Type_Table">'Sheet1'!$AB$2:$AD$9</definedName>
    <definedName name="Complete_Qualities_Table">'Sheet1'!$AF$2:$AG$104</definedName>
    <definedName name="Complete_Ware_Table">'Ware Lists'!$A$1:$T$65499</definedName>
    <definedName name="Cultured_Bioware">'Ware Lists'!$A$94:$A$101</definedName>
    <definedName name="Cyber">'Ware Lists'!$A$2:$A$101</definedName>
    <definedName name="CyberArms">'Ware Lists'!$A$105:$A$110</definedName>
    <definedName name="Cyberear_Accessories">'Ware Lists'!$A$193:$A$197</definedName>
    <definedName name="Cyberears">'Ware Lists'!$A$129:$A$132</definedName>
    <definedName name="Cybereye_Accessories">'Ware Lists'!$A$182:$A$190</definedName>
    <definedName name="Cybereyes">'Ware Lists'!$A$123:$A$126</definedName>
    <definedName name="CyberLegs">'Ware Lists'!$A$111:$A$116</definedName>
    <definedName name="Cyberlimb_Accessories">'Ware Lists'!$A$136:$A$179</definedName>
    <definedName name="Cyberlimbs_List">'Ware Lists'!$A$105:$A$120</definedName>
    <definedName name="CyberSkulls">'Ware Lists'!$A$119:$A$120</definedName>
    <definedName name="CyberTorsos">'Ware Lists'!$A$117:$A$118</definedName>
    <definedName name="Cyberware2">'Ware Lists'!$A$156:$A$173,'Ware Lists'!$A$2:$A$120</definedName>
    <definedName name="Earware">'Ware Lists'!$A$29:$A$35</definedName>
    <definedName name="Eyeware">'Ware Lists'!$A$17:$A$26</definedName>
    <definedName name="Foci_Type">'Sheet1'!$AB$2:$AB$9</definedName>
    <definedName name="Free_Contacts_House_Rule">'Main_Sheet'!$AC$14</definedName>
    <definedName name="Grade">'Sheet1'!$V$2:$V$5</definedName>
    <definedName name="Headware">'Ware Lists'!$A$3:$A$14</definedName>
    <definedName name="Knowledge_List">'Sheet1'!$D$2:$D$65536</definedName>
    <definedName name="Language_Skill">'Sheet1'!$G$2:$G$50</definedName>
    <definedName name="Magic">'Sheet1'!$N$2:$N$6</definedName>
    <definedName name="Max_Bound_Spirits">'Magic'!$F$27</definedName>
    <definedName name="Max_Registered_Sprites">'Technomancer'!$G$2</definedName>
    <definedName name="Max_Spirit_Services">'Magic'!$F$28</definedName>
    <definedName name="Max_Sprite_Tasks">'Technomancer'!$G$3</definedName>
    <definedName name="Nuyen">'Sheet1'!$L$2:$L$52</definedName>
    <definedName name="Qualities">'Sheet1'!$AF$2:$AF$104</definedName>
    <definedName name="Race">'Sheet1'!$J$2:$J$6</definedName>
    <definedName name="Rating">'Sheet1'!$Z$2:$Z$7</definedName>
    <definedName name="Skill_List">'Sheet1'!$A$2:$A$85</definedName>
    <definedName name="Spells">'Sheet1'!$P$2:$P$197</definedName>
    <definedName name="Spirit_Types">'Sheet1'!$R$2:$R$12</definedName>
    <definedName name="Sprite_Types">'Sheet1'!$T$2:$T$6</definedName>
    <definedName name="Top_Row_Bound_Foci">'Magic'!$I$22:$N$22</definedName>
    <definedName name="Top_Row_Bound_Spirits">'Magic'!$A$22:$C$22</definedName>
    <definedName name="Top_Row_Registered_Sprites">'Technomancer'!$F$7:$H$7</definedName>
  </definedNames>
  <calcPr fullCalcOnLoad="1"/>
</workbook>
</file>

<file path=xl/comments1.xml><?xml version="1.0" encoding="utf-8"?>
<comments xmlns="http://schemas.openxmlformats.org/spreadsheetml/2006/main">
  <authors>
    <author/>
  </authors>
  <commentList>
    <comment ref="K2" authorId="0">
      <text>
        <r>
          <rPr>
            <b/>
            <sz val="8"/>
            <color indexed="8"/>
            <rFont val="Times New Roman"/>
            <family val="1"/>
          </rPr>
          <t>Enter the base number of points to put into the attributes into this column. Races with an attribute bonus will have that added to derive the characters natural attribute value.
There is no BP charge for entering '1' here, the cost is the same as leaving it blank. So make sure to enter at least 1 point for each physical, mental, and Edge attribute (and Resonance/Magic if applicable to the character type).</t>
        </r>
      </text>
    </comment>
    <comment ref="S7" authorId="0">
      <text>
        <r>
          <rPr>
            <b/>
            <sz val="8"/>
            <color indexed="8"/>
            <rFont val="Arial"/>
            <family val="1"/>
          </rPr>
          <t>Not an error to be larger than allocation, but each Knowledge/Language skill point above the allocation costs 2BP/point.</t>
        </r>
      </text>
    </comment>
    <comment ref="K11" authorId="0">
      <text>
        <r>
          <rPr>
            <b/>
            <sz val="8"/>
            <color indexed="8"/>
            <rFont val="Times New Roman"/>
            <family val="1"/>
          </rPr>
          <t>This is for specifying Magic or Resonance.  To avoid confusion in the printout you should leave this entry blank when the character is a mundane.
However, for redundancy, if the character is mundane there are no Build Point costs generated from here regardless of any value entered.</t>
        </r>
      </text>
    </comment>
    <comment ref="T11" authorId="0">
      <text>
        <r>
          <rPr>
            <b/>
            <sz val="8"/>
            <color indexed="8"/>
            <rFont val="Times New Roman"/>
            <family val="1"/>
          </rPr>
          <t xml:space="preserve">Normally blank.
</t>
        </r>
        <r>
          <rPr>
            <b/>
            <sz val="8"/>
            <color indexed="10"/>
            <rFont val="Times New Roman"/>
            <family val="1"/>
          </rPr>
          <t xml:space="preserve">HOUSE RULE ONLY!!!
</t>
        </r>
        <r>
          <rPr>
            <b/>
            <sz val="8"/>
            <color indexed="8"/>
            <rFont val="Times New Roman"/>
            <family val="1"/>
          </rPr>
          <t>When "Free Contact Points" House Rule is on this value is the character's natural Charisma * 2. The character is allowed this as free points to purchase Contacts. Purchases above this amount cost BP as normal.
Unused free points are lost.</t>
        </r>
      </text>
    </comment>
    <comment ref="K12" authorId="0">
      <text>
        <r>
          <rPr>
            <b/>
            <sz val="8"/>
            <color indexed="8"/>
            <rFont val="Times New Roman"/>
            <family val="1"/>
          </rPr>
          <t>Normally Unused
When the Clout house rule is enabled Enter your Clout Attribute here.</t>
        </r>
      </text>
    </comment>
    <comment ref="T12" authorId="0">
      <text>
        <r>
          <rPr>
            <b/>
            <sz val="8"/>
            <color indexed="8"/>
            <rFont val="Arial"/>
            <family val="1"/>
          </rPr>
          <t>You can set the number of Build Points available for the character. If you exceed the this total Build Point limit or the limit of 50% of total BP for Attributes the appropriate total will show red text on yellow to let you know you have spent too many BP.</t>
        </r>
      </text>
    </comment>
    <comment ref="V15" authorId="0">
      <text>
        <r>
          <rPr>
            <b/>
            <sz val="8"/>
            <color indexed="8"/>
            <rFont val="Times New Roman"/>
            <family val="1"/>
          </rPr>
          <t>Free points to purchase Contacts up to the character's natural Charisma * 2. Purchases above this amount cost BP as normal. Unused free points are lost.</t>
        </r>
      </text>
    </comment>
    <comment ref="V16" authorId="0">
      <text>
        <r>
          <rPr>
            <b/>
            <sz val="8"/>
            <color indexed="8"/>
            <rFont val="Times New Roman"/>
            <family val="1"/>
          </rPr>
          <t>Clout_House_Rule
Attribute for locating contacts and wealth abstraction.</t>
        </r>
      </text>
    </comment>
    <comment ref="A18" authorId="0">
      <text>
        <r>
          <rPr>
            <b/>
            <sz val="8"/>
            <color indexed="8"/>
            <rFont val="Arial"/>
            <family val="1"/>
          </rPr>
          <t>Pick the Skill or Skill Group you want from the list. Selecting a Skill Group, listed with the extension of "(Group)", will turn the entry a darker shade of green to let you know.
For Exotic Skills you may manually edit the text to enter the specific type of equipment the Skill is for.
Note: No checking is done to ensure chosen Skills are not also in any of the chosen Skill Groups. If you do choose such a Skill you will be paying for the Skill twice.</t>
        </r>
      </text>
    </comment>
    <comment ref="D18" authorId="0">
      <text>
        <r>
          <rPr>
            <b/>
            <sz val="8"/>
            <color indexed="8"/>
            <rFont val="Arial"/>
            <family val="1"/>
          </rPr>
          <t>Enter the ranking of the Skill or Skill Group here. Skill Groups are allowed a maximum of 4. Enter a value higher than 4 for a Skill Group and the value will display red on yellow.
Skills are normally only allowed up to 6. However you are allowed to enter up to 7 to accommodate for the Aptitude Quality. You must manually verify that the 7 is appropriate for that Skill as the Qualities are not checked automatically for Aptitude.</t>
        </r>
      </text>
    </comment>
    <comment ref="O33" authorId="0">
      <text>
        <r>
          <rPr>
            <b/>
            <sz val="8"/>
            <color indexed="8"/>
            <rFont val="Arial"/>
            <family val="1"/>
          </rPr>
          <t>Chose your Positive and/or Negative Qualities here. You can use the special names in the format "&lt;&lt;Xxxx&gt;&gt;" to keep your Positives shown separate from your Negatives.</t>
        </r>
      </text>
    </comment>
    <comment ref="H38" authorId="0">
      <text>
        <r>
          <rPr>
            <b/>
            <sz val="8"/>
            <color indexed="8"/>
            <rFont val="Arial"/>
            <family val="1"/>
          </rPr>
          <t>You can choose a Language Skill from the list or manually type in one that you want.
Note that currently the Languages listed are actually the SR3 language groups. Talk to your GM about whether this is appropriate for your game.
Currently Specialization is not handled for the Language Skills. Feel free to type them in to the name box, but you must track the cost of 1BP/Specialization yourself.</t>
        </r>
      </text>
    </comment>
  </commentList>
</comments>
</file>

<file path=xl/comments2.xml><?xml version="1.0" encoding="utf-8"?>
<comments xmlns="http://schemas.openxmlformats.org/spreadsheetml/2006/main">
  <authors>
    <author/>
  </authors>
  <commentList>
    <comment ref="A2" authorId="0">
      <text>
        <r>
          <rPr>
            <b/>
            <sz val="8"/>
            <color indexed="8"/>
            <rFont val="Times New Roman"/>
            <family val="1"/>
          </rPr>
          <t>Select spells from the dropdown list.
Some spells require further specifications as to it's use. For example a single known '[Critter] Form' is only good for shapechanging into one specific critter type.  So after selecting spells with an '[xxx]' format in their name you must edit the name the spell name to further specialized that particular spell.
In our example you could change '[Critter] Form' to '[Tiger] Form' to denote that the character can use that spell to cause a shapechange to a tiger. Note that the character can normally learn multiple '[Critter] Form', and like, spells. Each instance having a different specialized use specified.</t>
        </r>
      </text>
    </comment>
    <comment ref="E3" authorId="0">
      <text>
        <r>
          <rPr>
            <b/>
            <sz val="8"/>
            <color indexed="8"/>
            <rFont val="Times New Roman"/>
            <family val="1"/>
          </rPr>
          <t>Select the Adept Powers here. 
For the various 'Improved Ability' powers replace the '[Skill]' with the desired Skill name.
For 'Improved Sense [Sense]' replace '[Sense]' with the name(s) of the sense(s) improved. If you enter more than one sense in a given entry increase the Level to 1 for every sense that is improved.
If there is more than one entry with an Improved Sense you must manually keep track of the total of all levels taken in Improved Sense to ensure this does not exceed the character's Magic Attribute.</t>
        </r>
      </text>
    </comment>
    <comment ref="H3" authorId="0">
      <text>
        <r>
          <rPr>
            <b/>
            <sz val="8"/>
            <color indexed="8"/>
            <rFont val="Times New Roman"/>
            <family val="1"/>
          </rPr>
          <t>Enter the number of levels this Power is taken at.  The number of levels cannot exceed the Magic attribute. If it does this cell will show red on yellow.
Improved Ability cannot exceed the Active Skill it is linked to, however currently you must manually make that check  yourself to ensure a legal character.
Likewise you must manually ensure that the correct version of Improved Physical Attribute is chosen, and that the 1.5 x racial maximum is not exceeded, based on the character's racial limit of the attribute in question.</t>
        </r>
      </text>
    </comment>
    <comment ref="F21" authorId="0">
      <text>
        <r>
          <rPr>
            <b/>
            <sz val="8"/>
            <color indexed="8"/>
            <rFont val="Arial"/>
            <family val="1"/>
          </rPr>
          <t>Type of awakened character. If the type of character chosen is not awakened then this will show in red on yellow.
Note that you must ensure that you are selecting on the Spells, Spirits, and/or Powers lists as appropriate for the awakened type chosen.</t>
        </r>
      </text>
    </comment>
    <comment ref="A22" authorId="0">
      <text>
        <r>
          <rPr>
            <b/>
            <sz val="8"/>
            <color indexed="8"/>
            <rFont val="Times New Roman"/>
            <family val="1"/>
          </rPr>
          <t>Type of spirit the character has bound. You must ensure that it is a type that the character can normally conjure.
Note: As the maximum number of bound spirits the character can start with drops this list hatches out from the bottom upwards. The hatched entries should be blanked, and if they aren't they display red on yellow under the hatch. Please blank all hatched entries to ensure that the character is not paying for spirits they are not allowed.</t>
        </r>
      </text>
    </comment>
    <comment ref="C22" authorId="0">
      <text>
        <r>
          <rPr>
            <b/>
            <sz val="8"/>
            <color indexed="8"/>
            <rFont val="Arial"/>
            <family val="1"/>
          </rPr>
          <t>Number of services that the spirit owes the character. The maximum value this can be is shown to the right of this table.</t>
        </r>
      </text>
    </comment>
    <comment ref="F24" authorId="0">
      <text>
        <r>
          <rPr>
            <b/>
            <sz val="8"/>
            <color indexed="8"/>
            <rFont val="Arial"/>
            <family val="1"/>
          </rPr>
          <t>The maximum spells that a beginning character can know. This is double the rank of the character's Spellcasting skill, or Ritual Spellcasting skill, or Sorcery skill group, whichever is highest.
Note: Once in play the number of spells know by the character is no longer limited in this way.</t>
        </r>
      </text>
    </comment>
    <comment ref="F25" authorId="0">
      <text>
        <r>
          <rPr>
            <b/>
            <sz val="8"/>
            <color indexed="8"/>
            <rFont val="Arial"/>
            <family val="1"/>
          </rPr>
          <t>This is a count of the spells selected in the Spells Known list.</t>
        </r>
      </text>
    </comment>
    <comment ref="F27" authorId="0">
      <text>
        <r>
          <rPr>
            <b/>
            <sz val="8"/>
            <color indexed="8"/>
            <rFont val="Arial"/>
            <family val="1"/>
          </rPr>
          <t>This is the maximum number of spirits that can be Bound to the character at any given time.  This is capped by the characters natural Charisma.
During play this limit remains, and may only be raised  by improved Charisma by spending karma, or by temporarily increasing Charisma by magical means. This limit is never increased by the benefits of Tailored Pheromones bioware.</t>
        </r>
      </text>
    </comment>
    <comment ref="F28" authorId="0">
      <text>
        <r>
          <rPr>
            <b/>
            <sz val="8"/>
            <color indexed="8"/>
            <rFont val="Arial"/>
            <family val="1"/>
          </rPr>
          <t>For any given spirit Bound to a beginning character the services owed is capped by the Summoning skill rank or Conjuring skill group rank, whichever the character has. If the character has neither they cannot begin with a Bound spirit.
Note: The total services owed by a spirit that a character Summons and Binds while in play is not limited to this number.</t>
        </r>
      </text>
    </comment>
  </commentList>
</comments>
</file>

<file path=xl/comments4.xml><?xml version="1.0" encoding="utf-8"?>
<comments xmlns="http://schemas.openxmlformats.org/spreadsheetml/2006/main">
  <authors>
    <author/>
  </authors>
  <commentList>
    <comment ref="B2" authorId="0">
      <text>
        <r>
          <rPr>
            <b/>
            <sz val="8"/>
            <color indexed="8"/>
            <rFont val="Arial"/>
            <family val="1"/>
          </rPr>
          <t>The total number of Complex Forms that a begining Technomancer can know is limited to double the Logic attribute.
Once in play the Technomancer is no longer limited this way.</t>
        </r>
      </text>
    </comment>
    <comment ref="G2" authorId="0">
      <text>
        <r>
          <rPr>
            <b/>
            <sz val="8"/>
            <color indexed="8"/>
            <rFont val="Arial"/>
            <family val="1"/>
          </rPr>
          <t>This is the maximum number of sprites that can be Registered to the character at any given time.  This is capped by the characters natural Charisma.
During play this limit remains, and may only be raised by improving Charisma by spending karma, or temporarily increasing Charisma by magical means. This limit is never increased by the benefits of Tailored Pheromones bioware.</t>
        </r>
      </text>
    </comment>
    <comment ref="B3" authorId="0">
      <text>
        <r>
          <rPr>
            <b/>
            <sz val="8"/>
            <color indexed="8"/>
            <rFont val="Arial"/>
            <family val="1"/>
          </rPr>
          <t>A count of the Complex Form that the Technomancer knows, having a rating of at least 1. If this exceeds the maximun starting Complex Forms this will be shown in red on yellow.</t>
        </r>
      </text>
    </comment>
    <comment ref="G3" authorId="0">
      <text>
        <r>
          <rPr>
            <b/>
            <sz val="8"/>
            <color indexed="8"/>
            <rFont val="Arial"/>
            <family val="1"/>
          </rPr>
          <t>For any given sprite Resgistered to a beginning character the tasks owed is capped by the Compiling skill rank or Tasking skill group rank, whichever the character has. If the character has neither they cannot start with a Registered spirit.
Note: The total number of tasks owed by a sprite that a Techonamcer Compiles and Registers while in play is not limited to this number.</t>
        </r>
      </text>
    </comment>
    <comment ref="D7" authorId="0">
      <text>
        <r>
          <rPr>
            <b/>
            <sz val="8"/>
            <color indexed="8"/>
            <rFont val="Times New Roman"/>
            <family val="1"/>
          </rPr>
          <t>Enter a number for the rating of the Complex Form here.  The rating of any Complex Form cannot exceed the value of the Resonance attribute.
A blank Rating entry denotes a Complex Form the Technomancer does not know. You are not allowed to enter a zero (0) for a Rating.
The maximum number of Complex Forms the beginning Technomancer can learn is shown above this table. Once in play the Technomancer is not limited in the number of the Complex Forms she can learn.</t>
        </r>
      </text>
    </comment>
    <comment ref="F7" authorId="0">
      <text>
        <r>
          <rPr>
            <b/>
            <sz val="8"/>
            <color indexed="8"/>
            <rFont val="Times New Roman"/>
            <family val="1"/>
          </rPr>
          <t>Type of sprite the Technomancer has registered.
Note: As the maximum number of registered sprites the character can start with drops this list hatches out from the bottom upwards. The hatched entries should be blanked, and if they aren't they display red on yellow under the hatch. Please blank all hatched entries to ensure that the character is not paying for sprites they are not allowed.</t>
        </r>
      </text>
    </comment>
    <comment ref="H7" authorId="0">
      <text>
        <r>
          <rPr>
            <b/>
            <sz val="8"/>
            <color indexed="8"/>
            <rFont val="Arial"/>
            <family val="1"/>
          </rPr>
          <t>Number of tasks that the sprite owes the character. For any give sprite this value cannot exceed the maximum tasks owed shown above this table.</t>
        </r>
      </text>
    </comment>
    <comment ref="D17" authorId="0">
      <text>
        <r>
          <rPr>
            <b/>
            <sz val="8"/>
            <color indexed="8"/>
            <rFont val="Arial"/>
            <family val="1"/>
          </rPr>
          <t>Enter a number for the rating of the Complex Form here.  The rating of any Complex Form cannot exceed the value of the Resonance attribute.
A blank Rating entry denotes a Complex Form the Technomancer does not know. You are not allowed to enter a zero (0) for a Rating.
The maximum number of Complex Forms the beginning Technomancer can learn is shown above this table. Once in play the Technomancer is not limited in the number of the Complex Forms she can learn.</t>
        </r>
      </text>
    </comment>
  </commentList>
</comments>
</file>

<file path=xl/comments5.xml><?xml version="1.0" encoding="utf-8"?>
<comments xmlns="http://schemas.openxmlformats.org/spreadsheetml/2006/main">
  <authors>
    <author/>
  </authors>
  <commentList>
    <comment ref="B2" authorId="0">
      <text>
        <r>
          <rPr>
            <b/>
            <sz val="8"/>
            <color indexed="8"/>
            <rFont val="Times New Roman"/>
            <family val="1"/>
          </rPr>
          <t>Only enter data here for Cyberware/Bioware that is available in a variety of ratings. Selecting 'ware without rating options will cause this cell to hatched out and will show text that isn't suppose to be there in red.
If a rating is expected and none entered rating '1' is assumed.</t>
        </r>
      </text>
    </comment>
    <comment ref="C2" authorId="0">
      <text>
        <r>
          <rPr>
            <b/>
            <sz val="8"/>
            <color indexed="8"/>
            <rFont val="Times New Roman"/>
            <family val="1"/>
          </rPr>
          <t>Select the grade of 'ware here. If none is selected 'Std.' (Standard) is assumed.</t>
        </r>
      </text>
    </comment>
    <comment ref="D2" authorId="0">
      <text>
        <r>
          <rPr>
            <b/>
            <sz val="8"/>
            <color indexed="8"/>
            <rFont val="Arial"/>
            <family val="1"/>
          </rPr>
          <t>This shows the Availability of the 'ware at the rating. If over the standard starting maximum of 12 it will show red on yellow.</t>
        </r>
      </text>
    </comment>
    <comment ref="B26" authorId="0">
      <text>
        <r>
          <rPr>
            <b/>
            <sz val="8"/>
            <color indexed="8"/>
            <rFont val="Arial"/>
            <family val="1"/>
          </rPr>
          <t>The Essense lost from Cyberware is doubled on this line if the character has the negative quality Sensitive System.</t>
        </r>
      </text>
    </comment>
  </commentList>
</comments>
</file>

<file path=xl/comments6.xml><?xml version="1.0" encoding="utf-8"?>
<comments xmlns="http://schemas.openxmlformats.org/spreadsheetml/2006/main">
  <authors>
    <author/>
  </authors>
  <commentList>
    <comment ref="P4" authorId="0">
      <text>
        <r>
          <rPr>
            <b/>
            <sz val="8"/>
            <color indexed="8"/>
            <rFont val="Times New Roman"/>
            <family val="1"/>
          </rPr>
          <t>Amount remaining of Resources allotated character on Main sheet.</t>
        </r>
      </text>
    </comment>
    <comment ref="P7" authorId="0">
      <text>
        <r>
          <rPr>
            <b/>
            <sz val="8"/>
            <color indexed="8"/>
            <rFont val="Times New Roman"/>
            <family val="1"/>
          </rPr>
          <t>These values have been adjusted as per the Cyberware_Bioware sheet.</t>
        </r>
      </text>
    </comment>
  </commentList>
</comments>
</file>

<file path=xl/sharedStrings.xml><?xml version="1.0" encoding="utf-8"?>
<sst xmlns="http://schemas.openxmlformats.org/spreadsheetml/2006/main" count="1858" uniqueCount="1195">
  <si>
    <t>Race:</t>
  </si>
  <si>
    <t>Elf</t>
  </si>
  <si>
    <t>Stat</t>
  </si>
  <si>
    <t>PNT</t>
  </si>
  <si>
    <t>Level</t>
  </si>
  <si>
    <t>Modified</t>
  </si>
  <si>
    <t>Build Points</t>
  </si>
  <si>
    <t>Last Design Update:</t>
  </si>
  <si>
    <t>2006/Oct/4</t>
  </si>
  <si>
    <t>Race</t>
  </si>
  <si>
    <t>Cost</t>
  </si>
  <si>
    <t>Special:</t>
  </si>
  <si>
    <t>Adept</t>
  </si>
  <si>
    <t>Body</t>
  </si>
  <si>
    <t>Stats</t>
  </si>
  <si>
    <t>Update By:</t>
  </si>
  <si>
    <t>blakkie, Dumpshock Forums</t>
  </si>
  <si>
    <t>Resources:</t>
  </si>
  <si>
    <t>Agility</t>
  </si>
  <si>
    <t>Remaining:</t>
  </si>
  <si>
    <t>Reaction</t>
  </si>
  <si>
    <t>Edge</t>
  </si>
  <si>
    <t>Legend</t>
  </si>
  <si>
    <t>Strength</t>
  </si>
  <si>
    <t>Player</t>
  </si>
  <si>
    <t>Nigel</t>
  </si>
  <si>
    <t>Charisma</t>
  </si>
  <si>
    <t>Skills</t>
  </si>
  <si>
    <t>- Manual Input</t>
  </si>
  <si>
    <t>Name (sex)</t>
  </si>
  <si>
    <t>Locyr Cohara (Male)</t>
  </si>
  <si>
    <t>Intuition</t>
  </si>
  <si>
    <t>Know./Lang. Points</t>
  </si>
  <si>
    <t>Concept</t>
  </si>
  <si>
    <t>Elven face; very willful but loyal.</t>
  </si>
  <si>
    <t>Logic</t>
  </si>
  <si>
    <t>Positive Qualities</t>
  </si>
  <si>
    <t>- Drop Down Menu</t>
  </si>
  <si>
    <t>Willpower</t>
  </si>
  <si>
    <t>Negative Qualities</t>
  </si>
  <si>
    <t>Description</t>
  </si>
  <si>
    <t>Locyr runs for one reason only: money.  Favors are also acceptable, but only if they are from good sources.  One might think this would make him mercenary, but he's always held personal loyalty above all else.  As a result of this, he will help out the rest of his team without question if they prove they're worthy of his loyalty – always.  He knows people, and how to manipulate them, but not much else.  He grew up very poor, and developed a taste for luxury after his first experience with it.</t>
  </si>
  <si>
    <t>Resources</t>
  </si>
  <si>
    <t>- Drop Down (Skill Group)</t>
  </si>
  <si>
    <t>Total</t>
  </si>
  <si>
    <t>Initiative</t>
  </si>
  <si>
    <t>House Rules</t>
  </si>
  <si>
    <t>Initiative Pass</t>
  </si>
  <si>
    <t>Free_Contacts_House_Rule</t>
  </si>
  <si>
    <t>Essence</t>
  </si>
  <si>
    <t>Clout_House_Rule</t>
  </si>
  <si>
    <t>Spec.</t>
  </si>
  <si>
    <t>Knowledge Skills</t>
  </si>
  <si>
    <t>Contacts</t>
  </si>
  <si>
    <t>Skill</t>
  </si>
  <si>
    <t>Spec</t>
  </si>
  <si>
    <t>Influence (Group)</t>
  </si>
  <si>
    <t>IN:Seattle High Society</t>
  </si>
  <si>
    <t>Tinman (Fixer)</t>
  </si>
  <si>
    <t>Intimidation</t>
  </si>
  <si>
    <t>AK:Downtown Seattle</t>
  </si>
  <si>
    <t>Jones (Mr. Johnson)</t>
  </si>
  <si>
    <t>AK:Greater Seattle</t>
  </si>
  <si>
    <t>“Coach” Colasanto (Bartender)</t>
  </si>
  <si>
    <t>Dodge</t>
  </si>
  <si>
    <t>Doc Jalopy (Street Doc)</t>
  </si>
  <si>
    <t>Credits:</t>
  </si>
  <si>
    <t>Pistols</t>
  </si>
  <si>
    <t>Mr. King (Beat Cop)</t>
  </si>
  <si>
    <t>Autarkis, created</t>
  </si>
  <si>
    <t>Perception</t>
  </si>
  <si>
    <t>blakkie, improvements+Techno+StreetMagic+Clout</t>
  </si>
  <si>
    <t>Palming</t>
  </si>
  <si>
    <t>IN:Champagne</t>
  </si>
  <si>
    <t>WavyDavy/Feshy, Cyberparts+OO testing</t>
  </si>
  <si>
    <t>Pilot Ground Craft</t>
  </si>
  <si>
    <t>IN:Classical Music</t>
  </si>
  <si>
    <t>users like you, spell/error checking + suggestions</t>
  </si>
  <si>
    <t>IN:Cuisine</t>
  </si>
  <si>
    <t>IN:Fashion</t>
  </si>
  <si>
    <t>IN:Japanese Culture</t>
  </si>
  <si>
    <t>Street Rumors</t>
  </si>
  <si>
    <t>Sports</t>
  </si>
  <si>
    <t>Seattle Underworld</t>
  </si>
  <si>
    <t>Qualities</t>
  </si>
  <si>
    <t>Qual. +</t>
  </si>
  <si>
    <t>Qual. -</t>
  </si>
  <si>
    <t>&lt;&lt;Positive Qualities&gt;&gt;</t>
  </si>
  <si>
    <t>First Impression</t>
  </si>
  <si>
    <t>Language Skills</t>
  </si>
  <si>
    <t>English</t>
  </si>
  <si>
    <t>N</t>
  </si>
  <si>
    <t>Japanese</t>
  </si>
  <si>
    <t>Sperethiel</t>
  </si>
  <si>
    <t>&lt;&lt;Negative Qualities&gt;&gt;</t>
  </si>
  <si>
    <t>Arabic</t>
  </si>
  <si>
    <t>Incompetent</t>
  </si>
  <si>
    <t>&lt;-- Longarms</t>
  </si>
  <si>
    <t>Salish</t>
  </si>
  <si>
    <t>Combat Paralysis</t>
  </si>
  <si>
    <t>Germanic</t>
  </si>
  <si>
    <t>Gremlins (2)</t>
  </si>
  <si>
    <t>۞  Denotes a Quality found in Street Magic supplement.</t>
  </si>
  <si>
    <t>Spells</t>
  </si>
  <si>
    <t>Powers</t>
  </si>
  <si>
    <t>Adept Power</t>
  </si>
  <si>
    <t>Points</t>
  </si>
  <si>
    <t>Notes</t>
  </si>
  <si>
    <t>Bod</t>
  </si>
  <si>
    <t>Agi</t>
  </si>
  <si>
    <t>Rea</t>
  </si>
  <si>
    <t>Str</t>
  </si>
  <si>
    <t>InP</t>
  </si>
  <si>
    <t>Imp</t>
  </si>
  <si>
    <t>Bal</t>
  </si>
  <si>
    <t>Better Match - Stage 1</t>
  </si>
  <si>
    <t>Better Match</t>
  </si>
  <si>
    <t>Kinesics</t>
  </si>
  <si>
    <t>Improved Reflexes I</t>
  </si>
  <si>
    <t>Combat Sense</t>
  </si>
  <si>
    <t>Commanding Voice۞</t>
  </si>
  <si>
    <t>Mystic Armor</t>
  </si>
  <si>
    <t>Improved Sense flare comp</t>
  </si>
  <si>
    <t>۞  Denotes a Power or Spell found in</t>
  </si>
  <si>
    <t xml:space="preserve">       Street Magic supplemental rules.</t>
  </si>
  <si>
    <t>Left</t>
  </si>
  <si>
    <t>Bound Spirits</t>
  </si>
  <si>
    <t>Bound Foci</t>
  </si>
  <si>
    <t>Spirit Type</t>
  </si>
  <si>
    <t>Services</t>
  </si>
  <si>
    <t>Type of Awakened:</t>
  </si>
  <si>
    <t>Power</t>
  </si>
  <si>
    <t>Focus Type</t>
  </si>
  <si>
    <t>Avail</t>
  </si>
  <si>
    <t>Cost(¥)</t>
  </si>
  <si>
    <t>Magic Attribute:</t>
  </si>
  <si>
    <t>Maximum Spells:</t>
  </si>
  <si>
    <t>Spells Known:</t>
  </si>
  <si>
    <t>Max. Bound Spirits</t>
  </si>
  <si>
    <t>Max. Spirit Services:</t>
  </si>
  <si>
    <t>Magic Points</t>
  </si>
  <si>
    <t>Notes:</t>
  </si>
  <si>
    <t>Cha</t>
  </si>
  <si>
    <t>Int</t>
  </si>
  <si>
    <t>Log</t>
  </si>
  <si>
    <t>Will</t>
  </si>
  <si>
    <t>Max Level (999=limited by Magic)</t>
  </si>
  <si>
    <t>--Mystic Adepts-- Sorcery/Conjuring</t>
  </si>
  <si>
    <t>Devote Magic to Sorcery/Conjuring</t>
  </si>
  <si>
    <t>Analytics۞</t>
  </si>
  <si>
    <t>+1 die pattern recognition and puzzle solving</t>
  </si>
  <si>
    <t>Animal Empathy۞</t>
  </si>
  <si>
    <t>+1 die handling non-sapient creatures</t>
  </si>
  <si>
    <t>Astral Perception</t>
  </si>
  <si>
    <t>Allows you to perceive Astrally</t>
  </si>
  <si>
    <t>Attribute Boost [Attribute]</t>
  </si>
  <si>
    <t>Boosts attribute by hits on (Magic+Level)</t>
  </si>
  <si>
    <t>Berserk۞</t>
  </si>
  <si>
    <t>+1 to all Physical, -1 to all Mental</t>
  </si>
  <si>
    <t>Blind Fighting۞</t>
  </si>
  <si>
    <t>reduces blind penalty from -6 dice to -4 dice</t>
  </si>
  <si>
    <t>Cloak۞</t>
  </si>
  <si>
    <t>+1 die to Oppose active Detection spells</t>
  </si>
  <si>
    <t>+1 die Surprise and Attack Defense</t>
  </si>
  <si>
    <t>Boss people around</t>
  </si>
  <si>
    <t>Cool Resolve۞</t>
  </si>
  <si>
    <t>+1 die when Opposing Social Active skills</t>
  </si>
  <si>
    <t>Counterstrike۞</t>
  </si>
  <si>
    <t>Add net defending dice to next attack</t>
  </si>
  <si>
    <t>Critical Strike</t>
  </si>
  <si>
    <t>+1 DV per level</t>
  </si>
  <si>
    <t>Distance Strike۞</t>
  </si>
  <si>
    <t>Project unarmed melee attack Magic meters</t>
  </si>
  <si>
    <t>Eidetic Sense Memory۞</t>
  </si>
  <si>
    <t>Perfect recall of any sensory memory</t>
  </si>
  <si>
    <t>Elemental Strike [Element]۞</t>
  </si>
  <si>
    <t>Add specific Element effect to Killing Hands</t>
  </si>
  <si>
    <t>Empathic Healing۞</t>
  </si>
  <si>
    <t>Transfer Physical wounds from others to you</t>
  </si>
  <si>
    <t>Enhanced Perception</t>
  </si>
  <si>
    <t>+1 die for Perception tests</t>
  </si>
  <si>
    <t>Enthralling Performance [Skill]۞</t>
  </si>
  <si>
    <t>Entrance with specific Skill, get your bard on</t>
  </si>
  <si>
    <t>Facial Sculpt۞</t>
  </si>
  <si>
    <t>+1 die for Diguse tests</t>
  </si>
  <si>
    <t>Flexibility۞</t>
  </si>
  <si>
    <t>+1 die for Escape Artist tests</t>
  </si>
  <si>
    <t>Freefall۞</t>
  </si>
  <si>
    <t>Reduce falling effect by 2 meters/level</t>
  </si>
  <si>
    <t>Gliding۞</t>
  </si>
  <si>
    <t>Run on water, tree tops, etc.</t>
  </si>
  <si>
    <t>Great Leap</t>
  </si>
  <si>
    <t>+1 die &amp; +1 Agi for dist. limit on Jump tests</t>
  </si>
  <si>
    <t>Improved Combat Ability [Skill]</t>
  </si>
  <si>
    <t>+1 dice to combat skill</t>
  </si>
  <si>
    <t>Improved Physical Ability [Skill]</t>
  </si>
  <si>
    <t>+1 dice to physical skill</t>
  </si>
  <si>
    <t>Improved Social Ability [Skill]</t>
  </si>
  <si>
    <t>+1 dice to social skill</t>
  </si>
  <si>
    <t>Improved Tech. Ability [Skill]</t>
  </si>
  <si>
    <t>+1 dice to techincal skill</t>
  </si>
  <si>
    <t>Imp. Phys. Attribute, Body</t>
  </si>
  <si>
    <t>+1 to body up to racial max</t>
  </si>
  <si>
    <t>Imp. Phys. Attribute, Agility</t>
  </si>
  <si>
    <t>+1 to agility up to racial max</t>
  </si>
  <si>
    <t>Imp. Phys. Attribute, Reaction</t>
  </si>
  <si>
    <t>+1 to reaction up to racial max</t>
  </si>
  <si>
    <t>Imp. Phys. Attribute, Strength</t>
  </si>
  <si>
    <t>+1 to strength up to racial max</t>
  </si>
  <si>
    <t>Imp. Phys. Attribute, Body (&gt; max)</t>
  </si>
  <si>
    <t>+1 to body up to racial max*1.5</t>
  </si>
  <si>
    <t>Imp. Phys. Attribute, Agility (&gt; max)</t>
  </si>
  <si>
    <t>+1 to agility up to racial max*1.5</t>
  </si>
  <si>
    <t>Imp. Phys. Attribute, React. (&gt; max)</t>
  </si>
  <si>
    <t>+1 to reaction up to racial max*1.5</t>
  </si>
  <si>
    <t>Imp. Phys. Attribute, Str. (&gt; max)</t>
  </si>
  <si>
    <t>+1 to strength up to racial max*1.5</t>
  </si>
  <si>
    <t>+1 Reaction/+1 Initiative Pass</t>
  </si>
  <si>
    <t>Improved Reflexes II</t>
  </si>
  <si>
    <t>+2 Reaction/+2 Initiative Pass</t>
  </si>
  <si>
    <t>Improved Reflexes III</t>
  </si>
  <si>
    <t>+3 Reaction/+3 Initiative Pass</t>
  </si>
  <si>
    <t>Improved Sense [Sense]</t>
  </si>
  <si>
    <t>One enchancement to a sense per level</t>
  </si>
  <si>
    <t>Inertia Strike۞</t>
  </si>
  <si>
    <t>Add 1/2 Str to boxes of dmg. for Knockdown</t>
  </si>
  <si>
    <t>Iron Gut۞</t>
  </si>
  <si>
    <t>+1 die for toxic ingestion Resistance Tests</t>
  </si>
  <si>
    <t>Iron Lungs۞</t>
  </si>
  <si>
    <t>+30 sec. holding breath, +1 die vs. fatigue</t>
  </si>
  <si>
    <t>Iron Will۞</t>
  </si>
  <si>
    <t>+1 die to resist magical mind control</t>
  </si>
  <si>
    <t>Killing Hands</t>
  </si>
  <si>
    <t>Unarmed does Physical &amp; pierces Immunity</t>
  </si>
  <si>
    <t>+1 to social tests</t>
  </si>
  <si>
    <t>Linguistics۞</t>
  </si>
  <si>
    <t>Gain new Language at 1 with no Karma cost</t>
  </si>
  <si>
    <t>Living Focus۞</t>
  </si>
  <si>
    <t>Sustain spell on self, -2 die to all actions</t>
  </si>
  <si>
    <t>Magic Sense۞</t>
  </si>
  <si>
    <t>Detects magic on same plane (Magic*10m)</t>
  </si>
  <si>
    <t>Melanin Control۞</t>
  </si>
  <si>
    <t>Shift skin and hair tone within ethnic range</t>
  </si>
  <si>
    <t>Metabolic Control۞</t>
  </si>
  <si>
    <t>Enter trace, metabolism by factor of Magic</t>
  </si>
  <si>
    <t>Missile Mastery۞</t>
  </si>
  <si>
    <t>Throw everything and the kitchen sink</t>
  </si>
  <si>
    <t>Missile Parry</t>
  </si>
  <si>
    <t>+1 die Opposing slow missile, victory grabs</t>
  </si>
  <si>
    <t>Motion Sense۞</t>
  </si>
  <si>
    <t>Reduce Blindfight penalty by 2 dice</t>
  </si>
  <si>
    <t>Multi-Tasking۞</t>
  </si>
  <si>
    <t>2 extra Free Actions outside combat</t>
  </si>
  <si>
    <t>+1 Balistic/+1 Impact armour, also on Astral</t>
  </si>
  <si>
    <t>Natural Immunity</t>
  </si>
  <si>
    <t>+1 dice resisting toxins &amp; diseases</t>
  </si>
  <si>
    <t>Nerve Strike۞</t>
  </si>
  <si>
    <t>Net hits reduce targets Agility and Reaction</t>
  </si>
  <si>
    <t>Nimble Fingers۞</t>
  </si>
  <si>
    <t>+1 die Palming, some Simples become Free</t>
  </si>
  <si>
    <t>Pain Relief۞</t>
  </si>
  <si>
    <t>Heal Stun damage for others</t>
  </si>
  <si>
    <t>Pain Resistance</t>
  </si>
  <si>
    <t>Ignore 1 damage box/+2 dice to resist pain</t>
  </si>
  <si>
    <t>Penetrating Strike۞</t>
  </si>
  <si>
    <t>Bypass 1 point of armour per level</t>
  </si>
  <si>
    <t>Piercing Senses۞</t>
  </si>
  <si>
    <t>+1 die resisting Illusion spells and powers</t>
  </si>
  <si>
    <t>Power Throw۞</t>
  </si>
  <si>
    <t>+2 effective Str, not subject to Attrib. Cap</t>
  </si>
  <si>
    <t>Quick Draw۞</t>
  </si>
  <si>
    <t>Quick Draw weapons other than pistols</t>
  </si>
  <si>
    <t>Rapid Healing</t>
  </si>
  <si>
    <t>+1 dice to healing tests</t>
  </si>
  <si>
    <t>Rooting۞</t>
  </si>
  <si>
    <t>+1 Body and +1 die for resisting knockdown</t>
  </si>
  <si>
    <t>Smashing Blow۞</t>
  </si>
  <si>
    <t>Double base DV vs. barriers and structures</t>
  </si>
  <si>
    <t>Spell Resitance</t>
  </si>
  <si>
    <t>+1 dice to resist spells</t>
  </si>
  <si>
    <t>Sustenance۞</t>
  </si>
  <si>
    <t>Only require 3 hours sleep and 1 meal/day</t>
  </si>
  <si>
    <t>Temperature Tolerance۞</t>
  </si>
  <si>
    <t>+1 die resisting exposure to temp extremes</t>
  </si>
  <si>
    <t>Three-Dimensional Memory۞</t>
  </si>
  <si>
    <t>Memorize a scene in ultra-clear detail</t>
  </si>
  <si>
    <t>Traceless Walk۞</t>
  </si>
  <si>
    <t>Leave no tracks, -4 dice to be heard</t>
  </si>
  <si>
    <t>Wall Running۞</t>
  </si>
  <si>
    <t>Drives you straight up the wall</t>
  </si>
  <si>
    <t>Voice Control</t>
  </si>
  <si>
    <t>Control pitch of voice, look out Rich Little</t>
  </si>
  <si>
    <t>Max. Starting Forms:</t>
  </si>
  <si>
    <t>Max. Registered Sprites:</t>
  </si>
  <si>
    <t>Forms Known:</t>
  </si>
  <si>
    <t>Max. Sprite Tasks Owed:</t>
  </si>
  <si>
    <t>Common</t>
  </si>
  <si>
    <t>Registered Sprites</t>
  </si>
  <si>
    <t>Complex Form (Skill)</t>
  </si>
  <si>
    <t>Rating</t>
  </si>
  <si>
    <t>Sprite Type</t>
  </si>
  <si>
    <t>Tasks</t>
  </si>
  <si>
    <t>Analyze (Computer)</t>
  </si>
  <si>
    <t>Browse (Data Search)</t>
  </si>
  <si>
    <t>Command (misc.)</t>
  </si>
  <si>
    <t>Edit (Computer/Hacking)</t>
  </si>
  <si>
    <t>Encrypt (Elect. Warfare)</t>
  </si>
  <si>
    <t>Reality Filter (Response)</t>
  </si>
  <si>
    <t>Scan (Electronic Warfare)</t>
  </si>
  <si>
    <t>Hacking</t>
  </si>
  <si>
    <t>Armor</t>
  </si>
  <si>
    <t>Attack (Cyber/Hack)</t>
  </si>
  <si>
    <t>Black Hammer (Cyber/Hack)</t>
  </si>
  <si>
    <t>Blackout (Cyber/Hacking)</t>
  </si>
  <si>
    <t>Data Bomb</t>
  </si>
  <si>
    <t>Decrypt (Elect. Warfare)</t>
  </si>
  <si>
    <t>Defuse (Hacking)</t>
  </si>
  <si>
    <t>ECCM</t>
  </si>
  <si>
    <t>Exploit (Hacking)</t>
  </si>
  <si>
    <t>Medic (Computer)</t>
  </si>
  <si>
    <t>Sniffer (Hack/Elect. Warfare)</t>
  </si>
  <si>
    <t>Spoof (Hacking)</t>
  </si>
  <si>
    <t>Stealth</t>
  </si>
  <si>
    <t>Track (Computer)</t>
  </si>
  <si>
    <t>Cyberware</t>
  </si>
  <si>
    <t>Grade</t>
  </si>
  <si>
    <t>Cybr Ess.</t>
  </si>
  <si>
    <t>Bio Ess.</t>
  </si>
  <si>
    <t>Nuyen</t>
  </si>
  <si>
    <t>Dmg</t>
  </si>
  <si>
    <t>Tox</t>
  </si>
  <si>
    <t>Category Essense</t>
  </si>
  <si>
    <t>Total Cyberlimbs</t>
  </si>
  <si>
    <t>Quality Adjusted</t>
  </si>
  <si>
    <t>Body Part</t>
  </si>
  <si>
    <t>Replacement Type</t>
  </si>
  <si>
    <t>Cap.</t>
  </si>
  <si>
    <t>Avail.</t>
  </si>
  <si>
    <t>Ess.</t>
  </si>
  <si>
    <t>Cyber Eyes</t>
  </si>
  <si>
    <t>Body Parts</t>
  </si>
  <si>
    <t>Cyber Ears</t>
  </si>
  <si>
    <t>Bo</t>
  </si>
  <si>
    <t>Ag</t>
  </si>
  <si>
    <t>St</t>
  </si>
  <si>
    <t>Ar</t>
  </si>
  <si>
    <t>Accessories</t>
  </si>
  <si>
    <t>Left Arm</t>
  </si>
  <si>
    <t>Available Cash</t>
  </si>
  <si>
    <t>Right Arm</t>
  </si>
  <si>
    <t>Left Leg</t>
  </si>
  <si>
    <t>Right Leg</t>
  </si>
  <si>
    <t>Essense</t>
  </si>
  <si>
    <t>Skull</t>
  </si>
  <si>
    <t>Bioware</t>
  </si>
  <si>
    <t>Torso</t>
  </si>
  <si>
    <t>All Cyberware</t>
  </si>
  <si>
    <t>Armour</t>
  </si>
  <si>
    <t>Implant</t>
  </si>
  <si>
    <t>Type</t>
  </si>
  <si>
    <t>x Rating</t>
  </si>
  <si>
    <t>&lt;Headware&gt;</t>
  </si>
  <si>
    <t>Commlink</t>
  </si>
  <si>
    <t>Cyber</t>
  </si>
  <si>
    <t>actual commlink cost not included</t>
  </si>
  <si>
    <t>Control Rig</t>
  </si>
  <si>
    <t>+2 dice pool on vehicle tests when "jumped into"</t>
  </si>
  <si>
    <t>Datajack</t>
  </si>
  <si>
    <t>Data Lock</t>
  </si>
  <si>
    <t>secure data storage, used for couriers</t>
  </si>
  <si>
    <t>Olfactory Booster (1-6)</t>
  </si>
  <si>
    <t>E</t>
  </si>
  <si>
    <t>+1 to perception tests based on smell</t>
  </si>
  <si>
    <t>Sim Module</t>
  </si>
  <si>
    <t>implanted version of external sim module</t>
  </si>
  <si>
    <t>Hot Sim Module</t>
  </si>
  <si>
    <t>Taster Booster (1-6)</t>
  </si>
  <si>
    <t>+1 to perception tests based on taste X rating</t>
  </si>
  <si>
    <t>Tooth Storage Compartment</t>
  </si>
  <si>
    <t>Ultrasound Sensor</t>
  </si>
  <si>
    <t>Voice Modulator</t>
  </si>
  <si>
    <t>-Secondary Pattern (1-6)</t>
  </si>
  <si>
    <t>&lt;Eyeware (Non-Cybereye)&gt;</t>
  </si>
  <si>
    <t>Eye Recording Unit</t>
  </si>
  <si>
    <t>stand alone</t>
  </si>
  <si>
    <t>Flare Compensation</t>
  </si>
  <si>
    <t>Image Link</t>
  </si>
  <si>
    <t>Low-Light Vision</t>
  </si>
  <si>
    <t>Protective Covers</t>
  </si>
  <si>
    <t>Retinal Duplication (1-6)</t>
  </si>
  <si>
    <t>A</t>
  </si>
  <si>
    <t>Smartlink</t>
  </si>
  <si>
    <t>Thermographic Vision</t>
  </si>
  <si>
    <t>Vision Enhancment (1-3)</t>
  </si>
  <si>
    <t>Vision Magnification</t>
  </si>
  <si>
    <t>&lt;Earware (Non-Cyberear)&gt;</t>
  </si>
  <si>
    <t>Audio Enhancer (1-3)</t>
  </si>
  <si>
    <t>Balance Augmentor</t>
  </si>
  <si>
    <t>+1 dice to balance tests, stand alone</t>
  </si>
  <si>
    <t>Damper</t>
  </si>
  <si>
    <t>+2 dice to resist sonic attacks, stand alone</t>
  </si>
  <si>
    <t>Ear Recording Unit</t>
  </si>
  <si>
    <t>Select Sound Filter (1-6)</t>
  </si>
  <si>
    <t>Sound Link</t>
  </si>
  <si>
    <t>Spatial Recongnizer</t>
  </si>
  <si>
    <t>&lt;Bodyware&gt;</t>
  </si>
  <si>
    <t>Bone Lacing (Plastic)</t>
  </si>
  <si>
    <t>+1 resisting damage, (STR/2+1)P</t>
  </si>
  <si>
    <t>Bone Lacing (Aluminum)</t>
  </si>
  <si>
    <t>+2 resisting damage, +1 impact (STR/2+2)P</t>
  </si>
  <si>
    <t>Bone Lacing (Titanium)</t>
  </si>
  <si>
    <t>+3 resisting damage, +1 ballistic/impact, (STR/2+3)P</t>
  </si>
  <si>
    <t>Dermal Plating (1-3)</t>
  </si>
  <si>
    <t>+1 ballistic/+1 impact X rating</t>
  </si>
  <si>
    <t>Fingertip Compartment</t>
  </si>
  <si>
    <t>Grapple Gun</t>
  </si>
  <si>
    <t>Internal Air Tank</t>
  </si>
  <si>
    <t>Muscle Replacement (1-4)</t>
  </si>
  <si>
    <t>+1 strength, +1 agility X rating</t>
  </si>
  <si>
    <t>Reaction Enhancer (1-3)</t>
  </si>
  <si>
    <t>+1 reaction X rating</t>
  </si>
  <si>
    <t>Simrig</t>
  </si>
  <si>
    <t>Skillwire (1-6)</t>
  </si>
  <si>
    <t>total ratings held is X 2 X rating</t>
  </si>
  <si>
    <t>Smuggling Compartment</t>
  </si>
  <si>
    <t>Touch Link</t>
  </si>
  <si>
    <t>Wired Reflexes I</t>
  </si>
  <si>
    <t>+1 reaction, +1 Init Pass</t>
  </si>
  <si>
    <t>Wired Reflexes II</t>
  </si>
  <si>
    <t>+2 reaction, +2 Init Pass</t>
  </si>
  <si>
    <t>Wired Reflexes III</t>
  </si>
  <si>
    <t>+3 reaction, +3 Init Pass</t>
  </si>
  <si>
    <t>&lt;Cyberguns (Non-Cyberlimb)&gt;</t>
  </si>
  <si>
    <t>Holdout Pistol</t>
  </si>
  <si>
    <t>Light Pistol</t>
  </si>
  <si>
    <t>Machine Pistol</t>
  </si>
  <si>
    <t>Heavy Pistol</t>
  </si>
  <si>
    <t>Submachine Gun</t>
  </si>
  <si>
    <t>Shotgun</t>
  </si>
  <si>
    <t>Grenade Launcher</t>
  </si>
  <si>
    <t>External Clip Port</t>
  </si>
  <si>
    <t>Laser Sight</t>
  </si>
  <si>
    <t>Silencer</t>
  </si>
  <si>
    <t>Sound Suppressor</t>
  </si>
  <si>
    <t>&lt;Cyber Melee (Non-Cyberlimb)&gt;</t>
  </si>
  <si>
    <t>Handblade</t>
  </si>
  <si>
    <t>Hand Razors</t>
  </si>
  <si>
    <t>Spur</t>
  </si>
  <si>
    <t>Shock Hand</t>
  </si>
  <si>
    <t>&lt;Basic Bioware&gt;</t>
  </si>
  <si>
    <t>Adrenal Pump (1-3)</t>
  </si>
  <si>
    <t>Bio</t>
  </si>
  <si>
    <t>+1 str,agi,reaction, &amp; will (rating X1d6 turns)</t>
  </si>
  <si>
    <t>Bone Density Augmentation (1-4)</t>
  </si>
  <si>
    <t>+1 body X rating</t>
  </si>
  <si>
    <t>Cat's Eyes</t>
  </si>
  <si>
    <t>natural low-light vision</t>
  </si>
  <si>
    <t>Digestive Expansion</t>
  </si>
  <si>
    <t>+2 dice to resist ingested toxins</t>
  </si>
  <si>
    <t>Enhanced Articulation</t>
  </si>
  <si>
    <t>+1 dice to physical skills</t>
  </si>
  <si>
    <t>Muscle Augmentation (1-4)</t>
  </si>
  <si>
    <t>+1 strength X rating</t>
  </si>
  <si>
    <t>Muscle Toner (1-4)</t>
  </si>
  <si>
    <t>+1 agility X rating</t>
  </si>
  <si>
    <t>Othoskin (1-3)</t>
  </si>
  <si>
    <t>+1 impact/ballistic X rating</t>
  </si>
  <si>
    <t>Pathogenic Defense (1-6)</t>
  </si>
  <si>
    <t>+1 dice to resist toxins/diseases X rating</t>
  </si>
  <si>
    <t>Platelet Factories</t>
  </si>
  <si>
    <t>-1 damage taken (min 1 point taken)</t>
  </si>
  <si>
    <t>Skin Pocket</t>
  </si>
  <si>
    <t>Suprathyroid Gland</t>
  </si>
  <si>
    <t>+1 body, agility, reaction, and strength</t>
  </si>
  <si>
    <t>Symbiotes (1-3)</t>
  </si>
  <si>
    <t>+1 dice to healing test X rating</t>
  </si>
  <si>
    <t>Synthacardium (1-3)</t>
  </si>
  <si>
    <t>+1 dice to athletic tests X rating</t>
  </si>
  <si>
    <t>Tailored Pheromones (1-3)</t>
  </si>
  <si>
    <t>+1 dice to charisma/social tests X rating</t>
  </si>
  <si>
    <t>Toxin Extractor (1-6)</t>
  </si>
  <si>
    <t>+1 dice to resist toxins X rating</t>
  </si>
  <si>
    <t>Tracheal Filter (1-6)</t>
  </si>
  <si>
    <t>+1 dice to resist inhaled toxins X rating</t>
  </si>
  <si>
    <t>&lt;Cultured Bioware&gt;</t>
  </si>
  <si>
    <t>Cerebral Booster (1-3)</t>
  </si>
  <si>
    <t>+1 logic X rating</t>
  </si>
  <si>
    <t>Damage Compensators (1-12)</t>
  </si>
  <si>
    <t>for injury modifiers ignore 1 box damage X rating</t>
  </si>
  <si>
    <t>Mnemonic Enhancer (1-3)</t>
  </si>
  <si>
    <t>+1 dice to knowledge/memory/language tests X rating</t>
  </si>
  <si>
    <t>Pain Editor</t>
  </si>
  <si>
    <t>ignore injury modifiers, +1 willpower, -1 intution</t>
  </si>
  <si>
    <t>Reflex Recorder- Skill Group</t>
  </si>
  <si>
    <t>+1 dice to specific skill group</t>
  </si>
  <si>
    <t>Reflex Recorder- Skill</t>
  </si>
  <si>
    <t>+1 dice to specific skill</t>
  </si>
  <si>
    <t>Sleep Regulator</t>
  </si>
  <si>
    <t>sleep 3 hr/day, or 48 hours awake w/no modifiers</t>
  </si>
  <si>
    <t>Synaptic Booster (1-3)</t>
  </si>
  <si>
    <t>+1 reaction, +1 Init Pass X rating</t>
  </si>
  <si>
    <t>&lt;Implants with Capacity&gt;</t>
  </si>
  <si>
    <t>&lt;Cyberlimbs&gt;</t>
  </si>
  <si>
    <t>Capacity</t>
  </si>
  <si>
    <t>Obvious Full Arm</t>
  </si>
  <si>
    <t>Obvious Lower Arm</t>
  </si>
  <si>
    <t>Obvious Hand</t>
  </si>
  <si>
    <t>Synthetic Full Arm</t>
  </si>
  <si>
    <t>Synthetic Lower Arm</t>
  </si>
  <si>
    <t>Synthetic Hand</t>
  </si>
  <si>
    <t>Obvious Full Leg</t>
  </si>
  <si>
    <t>Obvious Lower Leg</t>
  </si>
  <si>
    <t>Obvious Foot</t>
  </si>
  <si>
    <t>Synthetic Full Leg</t>
  </si>
  <si>
    <t>Synthetic Lower Leg</t>
  </si>
  <si>
    <t>Synthetic Foot</t>
  </si>
  <si>
    <t>Obvious Torso</t>
  </si>
  <si>
    <t>Synthetic Torso</t>
  </si>
  <si>
    <t>Obvious Skull</t>
  </si>
  <si>
    <t>Synthetic Skull</t>
  </si>
  <si>
    <t>&lt;Cybereyes&gt;</t>
  </si>
  <si>
    <t>Cybereye Rating 1</t>
  </si>
  <si>
    <t>Come with Image Link and Eye Recorder</t>
  </si>
  <si>
    <t>Cybereye Rating 2</t>
  </si>
  <si>
    <t>Cybereye Rating 3</t>
  </si>
  <si>
    <t>Cybereye Rating 4</t>
  </si>
  <si>
    <t>&lt;Cyberears&gt;</t>
  </si>
  <si>
    <t>Cyberears Rating 1</t>
  </si>
  <si>
    <t>Come with Sound Link and Ear Recorder</t>
  </si>
  <si>
    <t>Cyberears Rating 2</t>
  </si>
  <si>
    <t>Cyberears Rating 3</t>
  </si>
  <si>
    <t>Cyberears Rating 4</t>
  </si>
  <si>
    <t>&lt;Accessory Implants&gt;</t>
  </si>
  <si>
    <t>&lt;Cyberlimb Accessories&gt;</t>
  </si>
  <si>
    <t>Cyberarm Gyromount</t>
  </si>
  <si>
    <t>Cyberam Slide</t>
  </si>
  <si>
    <t>Cyber Holster</t>
  </si>
  <si>
    <t>Hydraulic Jacks (1-6)</t>
  </si>
  <si>
    <t>Small Smuggling Compartment</t>
  </si>
  <si>
    <t>Large Smuggling Compartment</t>
  </si>
  <si>
    <t>Kink Bomb</t>
  </si>
  <si>
    <t>Microbomb</t>
  </si>
  <si>
    <t>Area Bomb</t>
  </si>
  <si>
    <t>C</t>
  </si>
  <si>
    <t>&lt;Cyberguns&gt;</t>
  </si>
  <si>
    <t>&lt;Cyber Melee Weapons&gt;</t>
  </si>
  <si>
    <t>&lt;Cyberlimb Enhancements&gt;</t>
  </si>
  <si>
    <t>Armor (1-4)</t>
  </si>
  <si>
    <t>Body (1-7)</t>
  </si>
  <si>
    <t>Strength (1-7)</t>
  </si>
  <si>
    <t>Agility (1-7)</t>
  </si>
  <si>
    <t>&lt;Cybereye Accessories&gt;</t>
  </si>
  <si>
    <t>Ocular Drone</t>
  </si>
  <si>
    <t>AC</t>
  </si>
  <si>
    <t>&lt;Cyberear Accessories&gt;</t>
  </si>
  <si>
    <t>+1 dice to balance tests</t>
  </si>
  <si>
    <t>+2 dice to resist sonic attacks</t>
  </si>
  <si>
    <t>Equipment Description</t>
  </si>
  <si>
    <t>High Lifestyle, 1 month</t>
  </si>
  <si>
    <t>-</t>
  </si>
  <si>
    <t>3 outfits Business Clothes</t>
  </si>
  <si>
    <t>Commlink (Fairlight Caliban, Novatech Navi, Subvocal Mic)</t>
  </si>
  <si>
    <t>Thundercloud Contrail (Racing Bike, pg108 Arsenal)</t>
  </si>
  <si>
    <t>Greatcoat</t>
  </si>
  <si>
    <t>Fake License, Rating 4</t>
  </si>
  <si>
    <t>12F</t>
  </si>
  <si>
    <t>Fichetti Tiffani Needler</t>
  </si>
  <si>
    <t>5R</t>
  </si>
  <si>
    <t>50 Rounds Flechette Ammunition</t>
  </si>
  <si>
    <t>2R</t>
  </si>
  <si>
    <t>Fake SIN, Rating 4</t>
  </si>
  <si>
    <t>5 outfits Street Clothes</t>
  </si>
  <si>
    <t>2 outfits Stylish Clothes</t>
  </si>
  <si>
    <t>6 outfits High End Clothes</t>
  </si>
  <si>
    <t>Berwick Suit Jacket (3/2), Dinner Jacket (2/2), Trousers (1/1)</t>
  </si>
  <si>
    <t>Armour Vest (6/4)</t>
  </si>
  <si>
    <t>Lined Coat (6/4)</t>
  </si>
  <si>
    <t>Actioneer Business cloths (5/3)</t>
  </si>
  <si>
    <t>Maglock 6, Card-reader, Anti-tamper 4, Biometric (Loki)</t>
  </si>
  <si>
    <t>Contact Lenses (Flare Comp, Image Link, Vision Rating 3)</t>
  </si>
  <si>
    <t>Ceramic Knife</t>
  </si>
  <si>
    <t>Savalette Guardian</t>
  </si>
  <si>
    <t>7R</t>
  </si>
  <si>
    <t>70 Rounds Regular Ammo</t>
  </si>
  <si>
    <t>+3 to Starting Resources</t>
  </si>
  <si>
    <t>Total Gear Cost</t>
  </si>
  <si>
    <t>Total Remaining Cash</t>
  </si>
  <si>
    <t>ID</t>
  </si>
  <si>
    <t>Knowledges</t>
  </si>
  <si>
    <t>Languages</t>
  </si>
  <si>
    <t>Special</t>
  </si>
  <si>
    <t>Spell</t>
  </si>
  <si>
    <t>Spirit Types</t>
  </si>
  <si>
    <t>Sprite Types</t>
  </si>
  <si>
    <t>BP</t>
  </si>
  <si>
    <t>Athletics (Group)</t>
  </si>
  <si>
    <t>GS</t>
  </si>
  <si>
    <t>AK:Auburn</t>
  </si>
  <si>
    <t>KNO</t>
  </si>
  <si>
    <t>LNG</t>
  </si>
  <si>
    <t>Dwarf</t>
  </si>
  <si>
    <t>None</t>
  </si>
  <si>
    <t>Spirit of Air</t>
  </si>
  <si>
    <t>Courier Sprite</t>
  </si>
  <si>
    <t>Std.</t>
  </si>
  <si>
    <t>Spellcasting</t>
  </si>
  <si>
    <t xml:space="preserve"> </t>
  </si>
  <si>
    <t>Biotech (Group)</t>
  </si>
  <si>
    <t>AK:Bellevue</t>
  </si>
  <si>
    <t>Armenian</t>
  </si>
  <si>
    <t>&lt;&lt;&lt; Combat Spells &gt;&gt;&gt;</t>
  </si>
  <si>
    <t>Spirit of Water</t>
  </si>
  <si>
    <t>Crack Sprite</t>
  </si>
  <si>
    <t>Alpha</t>
  </si>
  <si>
    <t>Counterspelling</t>
  </si>
  <si>
    <t>Ambidextrous</t>
  </si>
  <si>
    <t>Close Combat (Group)</t>
  </si>
  <si>
    <t>AK:Council Island</t>
  </si>
  <si>
    <t>Athabascan</t>
  </si>
  <si>
    <t>Human</t>
  </si>
  <si>
    <t>Mystic Adept</t>
  </si>
  <si>
    <t>Acid Stream (Indirect, Elem.)</t>
  </si>
  <si>
    <t>Spirit of Earth</t>
  </si>
  <si>
    <t>Data Sprite</t>
  </si>
  <si>
    <t>Beta</t>
  </si>
  <si>
    <t>Sustaining</t>
  </si>
  <si>
    <t>Animal Empathy</t>
  </si>
  <si>
    <t>Conjuring (Group)</t>
  </si>
  <si>
    <t>Baltic</t>
  </si>
  <si>
    <t>Ork</t>
  </si>
  <si>
    <t>Magician</t>
  </si>
  <si>
    <t>Ball Lightning (Indirect, Elem.)</t>
  </si>
  <si>
    <t>Spirit of Fire</t>
  </si>
  <si>
    <t>Fault Sprite</t>
  </si>
  <si>
    <t>Delta</t>
  </si>
  <si>
    <t>Summoning</t>
  </si>
  <si>
    <t>Aptitude</t>
  </si>
  <si>
    <t>Cracking (Group)</t>
  </si>
  <si>
    <t>AK:Everett</t>
  </si>
  <si>
    <t>Basque</t>
  </si>
  <si>
    <t>Troll</t>
  </si>
  <si>
    <t>Technomancer</t>
  </si>
  <si>
    <t>Blast (Indirect)</t>
  </si>
  <si>
    <t>Spirit of Beast</t>
  </si>
  <si>
    <t>Machine Sprite</t>
  </si>
  <si>
    <t>Banishing</t>
  </si>
  <si>
    <t>Astral Chameleon</t>
  </si>
  <si>
    <t>Electronics (Group)</t>
  </si>
  <si>
    <t>AK:Ft. Lewis</t>
  </si>
  <si>
    <t>Canddoan</t>
  </si>
  <si>
    <t>Clout (Indirect)</t>
  </si>
  <si>
    <t>Spirit of Plants</t>
  </si>
  <si>
    <t>Binding</t>
  </si>
  <si>
    <t>Astral Sight۞</t>
  </si>
  <si>
    <t>Firearms (Group)</t>
  </si>
  <si>
    <t>Celtic</t>
  </si>
  <si>
    <t>Corrode [Object] (Indirect, Elem.)۞</t>
  </si>
  <si>
    <t>Spirit of Man</t>
  </si>
  <si>
    <t>Weapon</t>
  </si>
  <si>
    <t>Blandness</t>
  </si>
  <si>
    <t>AK:Puyallup</t>
  </si>
  <si>
    <t>Chukchi</t>
  </si>
  <si>
    <t>Death Touch (Direct)</t>
  </si>
  <si>
    <t>Guardian Spirit</t>
  </si>
  <si>
    <t>Codeslinger</t>
  </si>
  <si>
    <t>Mechanic (Group)</t>
  </si>
  <si>
    <t>AK:Redmond</t>
  </si>
  <si>
    <t>Creole</t>
  </si>
  <si>
    <t>Demolish [Object] (Direct)۞</t>
  </si>
  <si>
    <t>Guidance Spirit</t>
  </si>
  <si>
    <t>Double Jointed</t>
  </si>
  <si>
    <t>Outdoors (Group)</t>
  </si>
  <si>
    <t>AK:Renton</t>
  </si>
  <si>
    <t>Dravidian</t>
  </si>
  <si>
    <t>Fireball (Indirect, Elem.)</t>
  </si>
  <si>
    <t>Task Spirit</t>
  </si>
  <si>
    <t>Exceptional Attribute (Agility)</t>
  </si>
  <si>
    <t>Sorcery (Group)</t>
  </si>
  <si>
    <t>AK:Salish-Shidhe</t>
  </si>
  <si>
    <t>Egyptian</t>
  </si>
  <si>
    <t>Firewater (Indirect, Elem.)۞</t>
  </si>
  <si>
    <t>Watcher Spirit</t>
  </si>
  <si>
    <t>Exceptional Attribute (Body)</t>
  </si>
  <si>
    <t>Stealth (Group)</t>
  </si>
  <si>
    <t>AK:Seattle Matrix</t>
  </si>
  <si>
    <t>Flamethrower (Indirect, Elem.)</t>
  </si>
  <si>
    <t>Exceptional Attribute (Charisma)</t>
  </si>
  <si>
    <t>Tasking (Group)</t>
  </si>
  <si>
    <t>AK:Seattle Sewers</t>
  </si>
  <si>
    <t>Eskimo</t>
  </si>
  <si>
    <t>Knockout (Direct)</t>
  </si>
  <si>
    <t>Exceptional Attribute (Intuition)</t>
  </si>
  <si>
    <t>Aeronautics Mechanic</t>
  </si>
  <si>
    <t>SK</t>
  </si>
  <si>
    <t>AK:Snohomish</t>
  </si>
  <si>
    <t>Esperanto</t>
  </si>
  <si>
    <t>Lightning Bolt (Indirect, Elem.)</t>
  </si>
  <si>
    <t>Exceptional Attribute (Logic)</t>
  </si>
  <si>
    <t>Archery</t>
  </si>
  <si>
    <t>AK:Tacoma</t>
  </si>
  <si>
    <t>Finnic</t>
  </si>
  <si>
    <t>Manaball (Direct)</t>
  </si>
  <si>
    <t>Exceptional Attribute (Reaction)</t>
  </si>
  <si>
    <t>Armorer</t>
  </si>
  <si>
    <t>AK:Tir Tairngire</t>
  </si>
  <si>
    <t>Manabolt (Direct)</t>
  </si>
  <si>
    <t>Exceptional Attribute (Strength)</t>
  </si>
  <si>
    <t>Artisan</t>
  </si>
  <si>
    <t>BK:Acting</t>
  </si>
  <si>
    <t>Greek</t>
  </si>
  <si>
    <t>Melt [Object] (Indirect, Elem.)۞</t>
  </si>
  <si>
    <t>Exceptional Attribute (Willpower)</t>
  </si>
  <si>
    <t>Artist</t>
  </si>
  <si>
    <t>BK:Artisan</t>
  </si>
  <si>
    <t>Hamitic</t>
  </si>
  <si>
    <t>Napalm (Indirect, Elem.)۞</t>
  </si>
  <si>
    <t>Extra Native Language (House Rule)</t>
  </si>
  <si>
    <t>Assensing</t>
  </si>
  <si>
    <t>BK:Assault Rifles</t>
  </si>
  <si>
    <t>Indic</t>
  </si>
  <si>
    <t>One Less [Metatype/Species] (Direct)۞</t>
  </si>
  <si>
    <t>Astral</t>
  </si>
  <si>
    <t>BK:Athletics</t>
  </si>
  <si>
    <t>Indo-Iranian</t>
  </si>
  <si>
    <t>Powerball (Direct)</t>
  </si>
  <si>
    <t>Focused Concentration (1)</t>
  </si>
  <si>
    <t>Automatics</t>
  </si>
  <si>
    <t>BK:Aura Reading</t>
  </si>
  <si>
    <t>Iroquoian</t>
  </si>
  <si>
    <t>Powerbolt (Direct)</t>
  </si>
  <si>
    <t>Focused Concentration (2)</t>
  </si>
  <si>
    <t>Automotive Mechanic</t>
  </si>
  <si>
    <t>BK:Bike</t>
  </si>
  <si>
    <t>Italic</t>
  </si>
  <si>
    <t>Punch (Indirect)</t>
  </si>
  <si>
    <t>Guts</t>
  </si>
  <si>
    <t>BK:Biotech</t>
  </si>
  <si>
    <t>Interlingua</t>
  </si>
  <si>
    <t>Ram [Object] (Direct)۞</t>
  </si>
  <si>
    <t>High Pain Tolerance (1)</t>
  </si>
  <si>
    <t>BK:Blowgun</t>
  </si>
  <si>
    <t>Shatter (Direct)</t>
  </si>
  <si>
    <t>High Pain Tolerance (2)</t>
  </si>
  <si>
    <t>Blades</t>
  </si>
  <si>
    <t>BK:Bracer</t>
  </si>
  <si>
    <t>Khoisan</t>
  </si>
  <si>
    <t>Shattershield (Direct)۞</t>
  </si>
  <si>
    <t>High Pain Tolerance (3)</t>
  </si>
  <si>
    <t>Climbing</t>
  </si>
  <si>
    <t>BK:Car</t>
  </si>
  <si>
    <t>Malayo-Polynesian</t>
  </si>
  <si>
    <t>Slaughter [Metatype/Species] (Direct)۞</t>
  </si>
  <si>
    <t>Home Ground</t>
  </si>
  <si>
    <t>Clubs</t>
  </si>
  <si>
    <t>BK:Centering</t>
  </si>
  <si>
    <t>Mayan</t>
  </si>
  <si>
    <t>Slay [Metatype/Species] (Direct)۞</t>
  </si>
  <si>
    <t>Human-Looking</t>
  </si>
  <si>
    <t>Combat</t>
  </si>
  <si>
    <t>BK:Clubs</t>
  </si>
  <si>
    <t>Mon-Khmer</t>
  </si>
  <si>
    <t>Sludge [Object] (Indirect, Elem.)۞</t>
  </si>
  <si>
    <t>Latent Awakening۞</t>
  </si>
  <si>
    <t>Compiling</t>
  </si>
  <si>
    <t>BK:Computer</t>
  </si>
  <si>
    <t>Mongolian</t>
  </si>
  <si>
    <t>Stunball (Direct)</t>
  </si>
  <si>
    <t>Lucky</t>
  </si>
  <si>
    <t>Computer</t>
  </si>
  <si>
    <t>BK:Conjuring</t>
  </si>
  <si>
    <t>Muskogean</t>
  </si>
  <si>
    <t>Stunbolt (Direct)</t>
  </si>
  <si>
    <t>Magic Resistance (1)</t>
  </si>
  <si>
    <t>Con</t>
  </si>
  <si>
    <t>BK:Cyber Implant Combat</t>
  </si>
  <si>
    <t>Niger-Kordofanian</t>
  </si>
  <si>
    <t>Toxic Wave (Indirect, Elem.)</t>
  </si>
  <si>
    <t>Magic Resistance (2)</t>
  </si>
  <si>
    <t>BK:Demolitions</t>
  </si>
  <si>
    <t>Nilotic</t>
  </si>
  <si>
    <t>Wreck [Object] (Direct)۞</t>
  </si>
  <si>
    <t>۞</t>
  </si>
  <si>
    <t>Magic Resistance (3)</t>
  </si>
  <si>
    <t>Cybercombat</t>
  </si>
  <si>
    <t>BK:Disguise</t>
  </si>
  <si>
    <t>Oto-Manguan</t>
  </si>
  <si>
    <t>Magic Resistance (4)</t>
  </si>
  <si>
    <t>Cybertechnology</t>
  </si>
  <si>
    <t>BK:Diving</t>
  </si>
  <si>
    <t>Papuan</t>
  </si>
  <si>
    <t>&lt;&lt;&lt; Detection Spells &gt;&gt;&gt;</t>
  </si>
  <si>
    <t>Mentor Spirit</t>
  </si>
  <si>
    <t>DataSearch</t>
  </si>
  <si>
    <t>BK:Divining</t>
  </si>
  <si>
    <t>Romance</t>
  </si>
  <si>
    <t>Analyze Device (Active, Directional)</t>
  </si>
  <si>
    <t>Murky Link</t>
  </si>
  <si>
    <t>Decompiling</t>
  </si>
  <si>
    <t>BK:Edged Weapons</t>
  </si>
  <si>
    <t>Analyze Magic (Active, Directional)۞</t>
  </si>
  <si>
    <t>Natural Hardening</t>
  </si>
  <si>
    <t>Demolitions</t>
  </si>
  <si>
    <t>BK:Electronics</t>
  </si>
  <si>
    <t>Semitic</t>
  </si>
  <si>
    <t>Analyze Truth (Active, Directional)</t>
  </si>
  <si>
    <t>Natural Immunity (natural d/t)</t>
  </si>
  <si>
    <t>Disguise</t>
  </si>
  <si>
    <t>BK:Etiquette</t>
  </si>
  <si>
    <t>Sino-Tibetan</t>
  </si>
  <si>
    <t>Animal Sense (Active, Directional)۞</t>
  </si>
  <si>
    <t>Natural Immunity (artificial d/t)</t>
  </si>
  <si>
    <t>Diving</t>
  </si>
  <si>
    <t>BK:Eye Gun</t>
  </si>
  <si>
    <t>Siouan</t>
  </si>
  <si>
    <t>Area Thought Recognition (Active, Psychic)۞</t>
  </si>
  <si>
    <t>Photographic Memory</t>
  </si>
  <si>
    <t>BK:Fixed Wing</t>
  </si>
  <si>
    <t>Slavic</t>
  </si>
  <si>
    <t>Astral Clairvoyance (Passive, Directional)۞</t>
  </si>
  <si>
    <t>Quick Healer</t>
  </si>
  <si>
    <t>ElectronicWarfare</t>
  </si>
  <si>
    <t>BK:Forgery</t>
  </si>
  <si>
    <t>South</t>
  </si>
  <si>
    <t>Astral Window (Active, Directional)۞</t>
  </si>
  <si>
    <t>Resistance to Pathogens</t>
  </si>
  <si>
    <t>Escape</t>
  </si>
  <si>
    <t>BK:Gun Cane</t>
  </si>
  <si>
    <t>Borrow Sense (Active, Directional)۞</t>
  </si>
  <si>
    <t>Resistance to Toxins</t>
  </si>
  <si>
    <t>Etiquette</t>
  </si>
  <si>
    <t>BK:Gunnery</t>
  </si>
  <si>
    <t>Tlinglit</t>
  </si>
  <si>
    <t>Catalog (Active)۞</t>
  </si>
  <si>
    <t>Spell Knack۞</t>
  </si>
  <si>
    <t>Exotic Ranged (weapon)</t>
  </si>
  <si>
    <t>BK:Gyrojet Pistol</t>
  </si>
  <si>
    <t>Tsimshian</t>
  </si>
  <si>
    <t>Clairaudience (Passive, Directional)</t>
  </si>
  <si>
    <t>Spirit Affinity</t>
  </si>
  <si>
    <t>FirstAid</t>
  </si>
  <si>
    <t>BK:Handyman</t>
  </si>
  <si>
    <t>Tungus</t>
  </si>
  <si>
    <t>Clairvoyance (Passive, Directional)</t>
  </si>
  <si>
    <t>Spirit Knack۞</t>
  </si>
  <si>
    <t>Forgery</t>
  </si>
  <si>
    <t>BK:Heavy Weapons</t>
  </si>
  <si>
    <t>Turkic</t>
  </si>
  <si>
    <t>Combat Sense (Active, Psychic)</t>
  </si>
  <si>
    <t>Spirit Pact (take 1/Edge point)۞</t>
  </si>
  <si>
    <t>Gunnery</t>
  </si>
  <si>
    <t>BK:Hovercraft</t>
  </si>
  <si>
    <t>Ugrian</t>
  </si>
  <si>
    <t>Detect Enemies (Active)</t>
  </si>
  <si>
    <t>Toughness</t>
  </si>
  <si>
    <t>Gymnastics</t>
  </si>
  <si>
    <t>BK:Hypnotism</t>
  </si>
  <si>
    <t>Uto-Aztecan</t>
  </si>
  <si>
    <t>Detect Enemies, Extended (Active)</t>
  </si>
  <si>
    <t>Will to Live 1</t>
  </si>
  <si>
    <t>BK:Instruction</t>
  </si>
  <si>
    <t>Zuni</t>
  </si>
  <si>
    <t>Detect Individual (Active)</t>
  </si>
  <si>
    <t>Will to Live 2</t>
  </si>
  <si>
    <t>Hardware</t>
  </si>
  <si>
    <t>BK:Interrogation</t>
  </si>
  <si>
    <t>Detect Life (Active)</t>
  </si>
  <si>
    <t>Will to Live 3</t>
  </si>
  <si>
    <t>Heavy Weapons</t>
  </si>
  <si>
    <t>BK:Intimidation</t>
  </si>
  <si>
    <t>Detect Life, Extended (Active)</t>
  </si>
  <si>
    <t xml:space="preserve">     </t>
  </si>
  <si>
    <t>Industrial Mechanic</t>
  </si>
  <si>
    <t>BK:Laser Weapons</t>
  </si>
  <si>
    <t>Detect [Life Form] (Active)</t>
  </si>
  <si>
    <t>Infiltration</t>
  </si>
  <si>
    <t>BK:Launch Weapons</t>
  </si>
  <si>
    <t>Detect [Life Form], Extended (Active)</t>
  </si>
  <si>
    <t>Addiction (Mild)</t>
  </si>
  <si>
    <t>Instruction</t>
  </si>
  <si>
    <t>BK:Leadership</t>
  </si>
  <si>
    <t>Detect Magic (Active)</t>
  </si>
  <si>
    <t>Addiction (Moderate)</t>
  </si>
  <si>
    <t>BK:Leadership-Tactics</t>
  </si>
  <si>
    <t>Detect Magic, Extended (Active)</t>
  </si>
  <si>
    <t>Addiction (Severe)</t>
  </si>
  <si>
    <t>Leadership</t>
  </si>
  <si>
    <t>BK:Legerdemain</t>
  </si>
  <si>
    <t>Detect [Object] (Active)</t>
  </si>
  <si>
    <t>Addiction (Burnout)</t>
  </si>
  <si>
    <t>Locksmith</t>
  </si>
  <si>
    <t>BK:Lighter Than Air</t>
  </si>
  <si>
    <t>Diagnose (Active, Directional)۞</t>
  </si>
  <si>
    <t>Allergy (Uncommon, Mild)</t>
  </si>
  <si>
    <t>Longarms</t>
  </si>
  <si>
    <t>BK:Lock Picking</t>
  </si>
  <si>
    <t>Enhance Aim (Passive, Directional)۞</t>
  </si>
  <si>
    <t>Allergy (Uncommon, Moderate)</t>
  </si>
  <si>
    <t>Medicine</t>
  </si>
  <si>
    <t>BK:Magic Background</t>
  </si>
  <si>
    <t>Eyes of the Pack (Passive, Directional)۞</t>
  </si>
  <si>
    <t>Allergy (Uncommon, Severe)</t>
  </si>
  <si>
    <t>Nautical Mechanic</t>
  </si>
  <si>
    <t>BK:Motorboat</t>
  </si>
  <si>
    <t>Hawkeye (Passive, Directional)۞</t>
  </si>
  <si>
    <t>Allergy (Common, Mild)</t>
  </si>
  <si>
    <t>Navigation</t>
  </si>
  <si>
    <t>BK:Negotiation</t>
  </si>
  <si>
    <t>Mana Window (Active, Directional)۞</t>
  </si>
  <si>
    <t>Allergy (Common, Moderate)</t>
  </si>
  <si>
    <t>Negotiation</t>
  </si>
  <si>
    <t>BK:Oral Gun</t>
  </si>
  <si>
    <t>Mindlink (Active, Psychic)</t>
  </si>
  <si>
    <t>Allergy (Common, Severe)</t>
  </si>
  <si>
    <t>BK:Oral Strike</t>
  </si>
  <si>
    <t>Mindnet (Active, Psychic)۞</t>
  </si>
  <si>
    <t>Aspected Magician (Conjuror)۞</t>
  </si>
  <si>
    <t>Parachuting</t>
  </si>
  <si>
    <t>BK:Parachuting</t>
  </si>
  <si>
    <t>Mindnet, Extended (Active, Psychic)۞</t>
  </si>
  <si>
    <t>Aspected Magician (Sorcerer)۞</t>
  </si>
  <si>
    <t>BK:Performance</t>
  </si>
  <si>
    <t>Mind Probe (Active, Directional)</t>
  </si>
  <si>
    <t>Aspected Magician (Spell Cat.)۞</t>
  </si>
  <si>
    <t>Pilot Aerospace</t>
  </si>
  <si>
    <t>BK:Pistols</t>
  </si>
  <si>
    <t>Night Vision (Passive, Directional)۞</t>
  </si>
  <si>
    <t>Aspected Magician (Spirit Cat.)۞</t>
  </si>
  <si>
    <t>Pilot Aircraft</t>
  </si>
  <si>
    <t>BK:Pole Arms:Staffs</t>
  </si>
  <si>
    <t>[Sense] Cryptesthesia (Passive, Directional)۞</t>
  </si>
  <si>
    <t>Aspected Magician (Astral)۞</t>
  </si>
  <si>
    <t>Pilot Anthroform</t>
  </si>
  <si>
    <t>BK:Projectile Weapons</t>
  </si>
  <si>
    <t>Spatial Sense (Passive)۞</t>
  </si>
  <si>
    <t>Aspected Magician (Enchanter)۞</t>
  </si>
  <si>
    <t>Pilot Exotic Vehicle</t>
  </si>
  <si>
    <t>BK:Riding</t>
  </si>
  <si>
    <t>Spatial Sense, Extended (Passive)۞</t>
  </si>
  <si>
    <t>Astral Beacon</t>
  </si>
  <si>
    <t>BK:Rifles</t>
  </si>
  <si>
    <t>Thermographic Vision (Passive, Directional)۞</t>
  </si>
  <si>
    <t>Bad Luck</t>
  </si>
  <si>
    <t>Pilot Watercraft</t>
  </si>
  <si>
    <t>BK:Rotor Aircraft</t>
  </si>
  <si>
    <t>Thought Recognition (Active, Psychic/Directnl)۞</t>
  </si>
  <si>
    <t>Codeblock</t>
  </si>
  <si>
    <t>BK:Sailboat</t>
  </si>
  <si>
    <t>Translate (Active, Psychic/Directional)۞</t>
  </si>
  <si>
    <t>Registering</t>
  </si>
  <si>
    <t>BK:Ship</t>
  </si>
  <si>
    <t>Cursed(1)۞</t>
  </si>
  <si>
    <t>Ritual Spellcasting</t>
  </si>
  <si>
    <t>BK:Shotguns</t>
  </si>
  <si>
    <t>&lt;&lt;&lt; Health Spells &gt;&gt;&gt;</t>
  </si>
  <si>
    <t>Cursed(2)۞</t>
  </si>
  <si>
    <t>Running</t>
  </si>
  <si>
    <t>BK:Small Unit Tactics</t>
  </si>
  <si>
    <t>Alleviate Addiction۞</t>
  </si>
  <si>
    <t>Cursed(3)۞</t>
  </si>
  <si>
    <t>Shadowing</t>
  </si>
  <si>
    <t>BK:Sorcery</t>
  </si>
  <si>
    <t>Alleviate Allergy۞</t>
  </si>
  <si>
    <t>Cursed(4)۞</t>
  </si>
  <si>
    <t>Software</t>
  </si>
  <si>
    <t>BK:Spray Weapons</t>
  </si>
  <si>
    <t>Antidote</t>
  </si>
  <si>
    <t>Elf Poser</t>
  </si>
  <si>
    <t>BK:Stealth</t>
  </si>
  <si>
    <t>Awaken۞</t>
  </si>
  <si>
    <t>Focus Addiction (Mild)۞</t>
  </si>
  <si>
    <t>BK:Submachine Guns</t>
  </si>
  <si>
    <t>Crank۞</t>
  </si>
  <si>
    <t>Focus Addiction (Moderate)۞</t>
  </si>
  <si>
    <t>Survival</t>
  </si>
  <si>
    <t>BK:Submarines</t>
  </si>
  <si>
    <t>Cure Disease</t>
  </si>
  <si>
    <t>Focus Addiction (Severe)۞</t>
  </si>
  <si>
    <t>Swimming</t>
  </si>
  <si>
    <t>BK:Talismongering</t>
  </si>
  <si>
    <t>Decrease [Attribute] (Negative)</t>
  </si>
  <si>
    <t>Focus Addiction (Burnout)۞</t>
  </si>
  <si>
    <t>Throwing Weapons</t>
  </si>
  <si>
    <t>BK:Throwing Weapons</t>
  </si>
  <si>
    <t>Decrease Reflexes (Negative)۞</t>
  </si>
  <si>
    <t>Geas</t>
  </si>
  <si>
    <t>Tracking</t>
  </si>
  <si>
    <t>BK:Unarmed Combat</t>
  </si>
  <si>
    <t>Detox</t>
  </si>
  <si>
    <t>Gremlins (1)</t>
  </si>
  <si>
    <t>Unarmed Combat</t>
  </si>
  <si>
    <t>BK:Underwater Combat</t>
  </si>
  <si>
    <t>Enabler (Negative)۞</t>
  </si>
  <si>
    <t>BK:Vertored Thrust Aircraft</t>
  </si>
  <si>
    <t>Fast۞</t>
  </si>
  <si>
    <t>Gremlins (3)</t>
  </si>
  <si>
    <t>BK:Whips</t>
  </si>
  <si>
    <t>Heal</t>
  </si>
  <si>
    <t>Gremlins (4)</t>
  </si>
  <si>
    <t>BK:Wilderness Survival</t>
  </si>
  <si>
    <t>Healthy Glow۞</t>
  </si>
  <si>
    <t>IN:20th Cen Comic books</t>
  </si>
  <si>
    <t>Hibernate</t>
  </si>
  <si>
    <t>Infirm</t>
  </si>
  <si>
    <t>IN:Astrology</t>
  </si>
  <si>
    <t>Increase [Attribute]</t>
  </si>
  <si>
    <t>Low Pain Tolerance</t>
  </si>
  <si>
    <t>IN:Bushido Philosophy</t>
  </si>
  <si>
    <t>Increase Reflexes</t>
  </si>
  <si>
    <t>Ork Poser</t>
  </si>
  <si>
    <t>Intoxication (Negative)۞</t>
  </si>
  <si>
    <t>Scorched</t>
  </si>
  <si>
    <t>Nutrition۞</t>
  </si>
  <si>
    <t>Scorched (Hacker)</t>
  </si>
  <si>
    <t>IN:Combat Biking</t>
  </si>
  <si>
    <t>Oxygenate</t>
  </si>
  <si>
    <t>Sensitive Neural Structure</t>
  </si>
  <si>
    <t>IN:Conspiracy Theories</t>
  </si>
  <si>
    <t>Prophylaxis</t>
  </si>
  <si>
    <t>Sensitive Neural Structure (Hacker)</t>
  </si>
  <si>
    <t>IN:Cooking</t>
  </si>
  <si>
    <t>Resist Pain</t>
  </si>
  <si>
    <t>Sensitive System</t>
  </si>
  <si>
    <t>Stabilize</t>
  </si>
  <si>
    <t>Simsense Vertigo</t>
  </si>
  <si>
    <t>IN:Desert Wars</t>
  </si>
  <si>
    <t>Stim۞</t>
  </si>
  <si>
    <t>Simsense Vertigo (Hacker)</t>
  </si>
  <si>
    <t>IN:Elven Wines</t>
  </si>
  <si>
    <t>SINner (Standard)</t>
  </si>
  <si>
    <t>&lt;&lt;&lt; Illusion Spells &gt;&gt;&gt;</t>
  </si>
  <si>
    <t>SINner (Criminal)</t>
  </si>
  <si>
    <t>IN:Flatvid Movies</t>
  </si>
  <si>
    <t>Agony (Realistic, Single)۞</t>
  </si>
  <si>
    <t>Spirit Bane</t>
  </si>
  <si>
    <t>IN:Folklore and Mythology</t>
  </si>
  <si>
    <t>Bugs (Realistic, Multi)۞</t>
  </si>
  <si>
    <t>Uncouth</t>
  </si>
  <si>
    <t>IN:Gambling Card Games</t>
  </si>
  <si>
    <t>Camouflage (Realistic, Single)۞</t>
  </si>
  <si>
    <t>Uneducated</t>
  </si>
  <si>
    <t>IN:Investing</t>
  </si>
  <si>
    <t>Chaff (Realistic, Multi)۞</t>
  </si>
  <si>
    <t>Weak Immune System</t>
  </si>
  <si>
    <t>Chaos (Realistic, Multi)</t>
  </si>
  <si>
    <t>IN:Japanese Society</t>
  </si>
  <si>
    <t>Chaotic World (Realistic, Multi)</t>
  </si>
  <si>
    <t>IN:Legendary Martial Artists</t>
  </si>
  <si>
    <t>Confusion (Realistic, Multi)</t>
  </si>
  <si>
    <t>IN:Meditation</t>
  </si>
  <si>
    <t>Double Image (Realistic, Multi)۞</t>
  </si>
  <si>
    <t>IN:Occult Knowledge</t>
  </si>
  <si>
    <t>Dream (Realistic, Multi)۞</t>
  </si>
  <si>
    <t>IN:Opera</t>
  </si>
  <si>
    <t>Entertainment (Obvious, Multi)</t>
  </si>
  <si>
    <t>IN:Pirate Trid Broadcasters</t>
  </si>
  <si>
    <t>Flak (Realistic, Multi)۞</t>
  </si>
  <si>
    <t>IN:Poetry</t>
  </si>
  <si>
    <t>Foreboding (Realistic, Multi)۞</t>
  </si>
  <si>
    <t>IN:Popular Culture</t>
  </si>
  <si>
    <t>Hot Potato (Realistic, Single)۞</t>
  </si>
  <si>
    <t>IN:Pornography</t>
  </si>
  <si>
    <t>Hush (Realistic, Single)</t>
  </si>
  <si>
    <t>IN:Roleplaying Games of 20th Cen.</t>
  </si>
  <si>
    <t>Improved Invisibility (Realistic, Single)</t>
  </si>
  <si>
    <t>IN:Sci_fi Simchips</t>
  </si>
  <si>
    <t>Invisibility (Realistic, Single)</t>
  </si>
  <si>
    <t>Mask (Realistic, Multi)</t>
  </si>
  <si>
    <t>IN:Sim Starlets</t>
  </si>
  <si>
    <t>Mass Agony (Realistic, Single)۞</t>
  </si>
  <si>
    <t>IN:Tir Tairngire Politics</t>
  </si>
  <si>
    <t>Mass Confusion (Realistic, Multi)</t>
  </si>
  <si>
    <t>IN:Tourist Trivia</t>
  </si>
  <si>
    <t>Mass [Sense] Removal (Realistic, Single)۞</t>
  </si>
  <si>
    <t>IN:Troll Thrash Metal Bands</t>
  </si>
  <si>
    <t>Orgasm (Realistic, Single)۞</t>
  </si>
  <si>
    <t>IN:Urban Brawl</t>
  </si>
  <si>
    <t>Orgy (Realistic, Single)۞</t>
  </si>
  <si>
    <t>IN:Weightlifting</t>
  </si>
  <si>
    <t>Phantasm (Realistic, Multi)</t>
  </si>
  <si>
    <t>IN:Woodworking</t>
  </si>
  <si>
    <t>Physical Camouflage (Realistic, Single)۞</t>
  </si>
  <si>
    <t>SW:Artificial Intelligence</t>
  </si>
  <si>
    <t>Physical Double Image (Realistic, Multi)۞</t>
  </si>
  <si>
    <t>SW:Atlantis Research</t>
  </si>
  <si>
    <t>Physical Mask (Realistic, Multi)</t>
  </si>
  <si>
    <t>SW:Chat Rooms</t>
  </si>
  <si>
    <t>[Sense] Removal (Realistic, Single)۞</t>
  </si>
  <si>
    <t>SW:Corporate Finance</t>
  </si>
  <si>
    <t>Silence (Realistic, Single)</t>
  </si>
  <si>
    <t>SW:Corporate Hosts</t>
  </si>
  <si>
    <t>Sound Barrier (Realistic, Single)۞</t>
  </si>
  <si>
    <t>SW:Corporate Politics</t>
  </si>
  <si>
    <t>Stealth (Realistic, Single)</t>
  </si>
  <si>
    <t>SW:Corporate Procedures</t>
  </si>
  <si>
    <t>Stench (Realistic, Single)۞</t>
  </si>
  <si>
    <t>SW:Corporate Security</t>
  </si>
  <si>
    <t>Stink (Realistic, Single)۞</t>
  </si>
  <si>
    <t>SW:Cybertechnology</t>
  </si>
  <si>
    <t>Swarm (Realistic, Multi)۞</t>
  </si>
  <si>
    <t>SW:Cyberterminal Design</t>
  </si>
  <si>
    <t>Trid Entertainment (Obvious, Multi)</t>
  </si>
  <si>
    <t>SW:Data Brokerage</t>
  </si>
  <si>
    <t>Trid Phantasm (Realistic, Multi)</t>
  </si>
  <si>
    <t>SW:Data Havens</t>
  </si>
  <si>
    <t>Vehicle Mask (Realistic, Multi)۞</t>
  </si>
  <si>
    <t>SW:Databases</t>
  </si>
  <si>
    <t>SW:Deckmeisters</t>
  </si>
  <si>
    <t>&lt;&lt;&lt; Manipulation &gt;&gt;&gt;</t>
  </si>
  <si>
    <t>SW:Dowsing</t>
  </si>
  <si>
    <t>Alter Memory (Mental)۞</t>
  </si>
  <si>
    <t>SW:Dragons</t>
  </si>
  <si>
    <t>Alter Temperature (Environ.)۞</t>
  </si>
  <si>
    <t>SW:Elven Society</t>
  </si>
  <si>
    <t>Animate (Physical)۞</t>
  </si>
  <si>
    <t>SW:Entertainment Politics</t>
  </si>
  <si>
    <t>Armor (Physical)۞</t>
  </si>
  <si>
    <t>SW:Humanis Policlub</t>
  </si>
  <si>
    <t>Astral Armor (Mana)۞</t>
  </si>
  <si>
    <t>SW:Iconography</t>
  </si>
  <si>
    <t>Bind (Physical)۞</t>
  </si>
  <si>
    <t>SW:Insect Spirits</t>
  </si>
  <si>
    <t>Calm Animal (Mental)۞</t>
  </si>
  <si>
    <t>SW:Jackpoint Locations</t>
  </si>
  <si>
    <t>Calm Pack (Mental)۞</t>
  </si>
  <si>
    <t>SW:Legendary Deckers</t>
  </si>
  <si>
    <t>Catfall (Physical)۞</t>
  </si>
  <si>
    <t>SW:Magic</t>
  </si>
  <si>
    <t>Clean [Element] (Environ.)۞</t>
  </si>
  <si>
    <t>SW:Matrix Gangs</t>
  </si>
  <si>
    <t>Compel Truth (Mental)۞</t>
  </si>
  <si>
    <t>SW:Matrix Security Procedures</t>
  </si>
  <si>
    <t>Control Actions (Mental)</t>
  </si>
  <si>
    <t>SW:Matrix Topography</t>
  </si>
  <si>
    <t>Control Animal (Mental)۞</t>
  </si>
  <si>
    <t>SW:Megacorporate Operations</t>
  </si>
  <si>
    <t>Control Emotions (Mental)</t>
  </si>
  <si>
    <t>SW:Megacorporate Policies</t>
  </si>
  <si>
    <t>Control Pack (Mental)۞</t>
  </si>
  <si>
    <t>SW:Megacorporate Politics</t>
  </si>
  <si>
    <t>Control Thoughts (Mental)</t>
  </si>
  <si>
    <t>SW:Megacorporate Research</t>
  </si>
  <si>
    <t>[Critter] Form (Physical)</t>
  </si>
  <si>
    <t>SW:Megacorporate Security</t>
  </si>
  <si>
    <t>Deflection (Physical)۞</t>
  </si>
  <si>
    <t>SW:Metahuman Politics</t>
  </si>
  <si>
    <t>[Element] Aura (Environ.)۞</t>
  </si>
  <si>
    <t>SW:Metahumanity</t>
  </si>
  <si>
    <t>[Element] Wall (Environ.)۞</t>
  </si>
  <si>
    <t>SW:Miltech Manufacturers</t>
  </si>
  <si>
    <t>Fashion (Physical)۞</t>
  </si>
  <si>
    <t>SW:Otaku</t>
  </si>
  <si>
    <t>Fix (Physical)۞</t>
  </si>
  <si>
    <t>SW:Parabotany</t>
  </si>
  <si>
    <t>Fling (Physical)</t>
  </si>
  <si>
    <t>SW:Paranormal Animals</t>
  </si>
  <si>
    <t>Gecko Crawl (Physical)۞</t>
  </si>
  <si>
    <t>SW:Satellite Networks</t>
  </si>
  <si>
    <t>Glue (Physical)۞</t>
  </si>
  <si>
    <t>SW:Seattle LTG</t>
  </si>
  <si>
    <t>Glue Strip (Physical)۞</t>
  </si>
  <si>
    <t>SW:Tribal Politics</t>
  </si>
  <si>
    <t>Ice Sheet (Environ.)</t>
  </si>
  <si>
    <t>SW:Virtual Meeting Spots</t>
  </si>
  <si>
    <t>Ignite (Physical)</t>
  </si>
  <si>
    <t>Influence (Mental)</t>
  </si>
  <si>
    <t>Interference (Environ.)۞</t>
  </si>
  <si>
    <t>Levitate (Physical)</t>
  </si>
  <si>
    <t>Light (Environ.)</t>
  </si>
  <si>
    <t>Lock (Physical)۞</t>
  </si>
  <si>
    <t>Magic Fingers (Physical)</t>
  </si>
  <si>
    <t>Makeover (Physical)۞</t>
  </si>
  <si>
    <t>Mana Barrier (Environ.)</t>
  </si>
  <si>
    <t>Mana Bind (Mana)۞</t>
  </si>
  <si>
    <t>Mana Net (Mana)۞</t>
  </si>
  <si>
    <t>Mana Static (Environ.)۞</t>
  </si>
  <si>
    <t>Mass Animate (Physical)۞</t>
  </si>
  <si>
    <t>Mist (Environ.)۞</t>
  </si>
  <si>
    <t>Mob Control (Mental)</t>
  </si>
  <si>
    <t>Mob Mind (Mental)</t>
  </si>
  <si>
    <t>Mob Mood (Mental)</t>
  </si>
  <si>
    <t>Net (Physical)۞</t>
  </si>
  <si>
    <t>Offensive Mana Barrier (Environ.)۞</t>
  </si>
  <si>
    <t>Petrify (Physical)</t>
  </si>
  <si>
    <t>Physical Barrier (Environ.)</t>
  </si>
  <si>
    <t>Poltergeist (Environ.)</t>
  </si>
  <si>
    <t>Preserve (Physical)۞</t>
  </si>
  <si>
    <t>Pulse (Environ.)۞</t>
  </si>
  <si>
    <t>Reinforce (Physical)۞</t>
  </si>
  <si>
    <t>Shadow (Environ.)</t>
  </si>
  <si>
    <t>Shapechange (Physical)</t>
  </si>
  <si>
    <t>Shape [Material] (Environ.)۞</t>
  </si>
  <si>
    <t>Spirit Barrier (Environ.)۞</t>
  </si>
  <si>
    <t>Spirit Zapper (Environ.)۞</t>
  </si>
  <si>
    <t>Sterilize (Physical)۞</t>
  </si>
  <si>
    <t>Turn to Goo (Physical)</t>
  </si>
</sst>
</file>

<file path=xl/styles.xml><?xml version="1.0" encoding="utf-8"?>
<styleSheet xmlns="http://schemas.openxmlformats.org/spreadsheetml/2006/main">
  <numFmts count="15">
    <numFmt numFmtId="164" formatCode="GENERAL"/>
    <numFmt numFmtId="165" formatCode="YYYY/MMM/DD"/>
    <numFmt numFmtId="166" formatCode="&quot;/ &quot;0;&quot;/-&quot;0"/>
    <numFmt numFmtId="167" formatCode="\+0&quot; for dmg&quot;"/>
    <numFmt numFmtId="168" formatCode="#,##0\¥"/>
    <numFmt numFmtId="169" formatCode="#,##0"/>
    <numFmt numFmtId="170" formatCode="0"/>
    <numFmt numFmtId="171" formatCode="&quot;/ &quot;0"/>
    <numFmt numFmtId="172" formatCode="0.00;[RED]0.00"/>
    <numFmt numFmtId="173" formatCode="&quot;+ &quot;0"/>
    <numFmt numFmtId="174" formatCode="0.00"/>
    <numFmt numFmtId="175" formatCode="_(* #,##0_);_(* \(#,##0\);_(* \-??_);_(@_)"/>
    <numFmt numFmtId="176" formatCode="_(* #,##0.00_);_(* \(#,##0.00\);_(* \-??_);_(@_)"/>
    <numFmt numFmtId="177" formatCode="#,###"/>
    <numFmt numFmtId="178" formatCode="00"/>
  </numFmts>
  <fonts count="11">
    <font>
      <sz val="10"/>
      <name val="Arial"/>
      <family val="2"/>
    </font>
    <font>
      <b/>
      <sz val="10"/>
      <name val="Arial"/>
      <family val="2"/>
    </font>
    <font>
      <b/>
      <sz val="8"/>
      <color indexed="8"/>
      <name val="Times New Roman"/>
      <family val="1"/>
    </font>
    <font>
      <sz val="8"/>
      <name val="Arial"/>
      <family val="2"/>
    </font>
    <font>
      <b/>
      <sz val="8"/>
      <color indexed="8"/>
      <name val="Arial"/>
      <family val="1"/>
    </font>
    <font>
      <b/>
      <sz val="8"/>
      <color indexed="10"/>
      <name val="Times New Roman"/>
      <family val="1"/>
    </font>
    <font>
      <b/>
      <sz val="8"/>
      <name val="Arial"/>
      <family val="2"/>
    </font>
    <font>
      <sz val="7"/>
      <name val="Arial"/>
      <family val="2"/>
    </font>
    <font>
      <sz val="8"/>
      <color indexed="8"/>
      <name val="Arial"/>
      <family val="0"/>
    </font>
    <font>
      <sz val="9"/>
      <name val="Arial"/>
      <family val="2"/>
    </font>
    <font>
      <b/>
      <sz val="10"/>
      <color indexed="20"/>
      <name val="Arial"/>
      <family val="2"/>
    </font>
  </fonts>
  <fills count="8">
    <fill>
      <patternFill/>
    </fill>
    <fill>
      <patternFill patternType="gray125"/>
    </fill>
    <fill>
      <patternFill patternType="solid">
        <fgColor indexed="22"/>
        <bgColor indexed="64"/>
      </patternFill>
    </fill>
    <fill>
      <patternFill patternType="solid">
        <fgColor indexed="42"/>
        <bgColor indexed="64"/>
      </patternFill>
    </fill>
    <fill>
      <patternFill patternType="solid">
        <fgColor indexed="27"/>
        <bgColor indexed="64"/>
      </patternFill>
    </fill>
    <fill>
      <patternFill patternType="solid">
        <fgColor indexed="9"/>
        <bgColor indexed="64"/>
      </patternFill>
    </fill>
    <fill>
      <patternFill patternType="solid">
        <fgColor indexed="41"/>
        <bgColor indexed="64"/>
      </patternFill>
    </fill>
    <fill>
      <patternFill patternType="solid">
        <fgColor indexed="63"/>
        <bgColor indexed="64"/>
      </patternFill>
    </fill>
  </fills>
  <borders count="17">
    <border>
      <left/>
      <right/>
      <top/>
      <bottom/>
      <diagonal/>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style="double">
        <color indexed="8"/>
      </top>
      <bottom>
        <color indexed="63"/>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color indexed="63"/>
      </left>
      <right>
        <color indexed="63"/>
      </right>
      <top style="thin">
        <color indexed="8"/>
      </top>
      <bottom style="thin">
        <color indexed="8"/>
      </bottom>
    </border>
    <border>
      <left style="thin">
        <color indexed="8"/>
      </left>
      <right>
        <color indexed="63"/>
      </right>
      <top>
        <color indexed="63"/>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style="double">
        <color indexed="8"/>
      </top>
      <bottom style="thin">
        <color indexed="8"/>
      </bottom>
    </border>
    <border>
      <left>
        <color indexed="63"/>
      </left>
      <right style="thin">
        <color indexed="8"/>
      </right>
      <top style="thin">
        <color indexed="8"/>
      </top>
      <bottom>
        <color indexed="63"/>
      </bottom>
    </border>
    <border>
      <left style="thin">
        <color indexed="8"/>
      </left>
      <right style="hair">
        <color indexed="8"/>
      </right>
      <top style="hair">
        <color indexed="8"/>
      </top>
      <bottom style="hair">
        <color indexed="8"/>
      </bottom>
    </border>
    <border>
      <left style="hair">
        <color indexed="8"/>
      </left>
      <right style="hair">
        <color indexed="8"/>
      </right>
      <top style="hair">
        <color indexed="8"/>
      </top>
      <bottom style="hair">
        <color indexed="8"/>
      </bottom>
    </border>
    <border>
      <left style="hair">
        <color indexed="8"/>
      </left>
      <right style="hair">
        <color indexed="8"/>
      </right>
      <top>
        <color indexed="63"/>
      </top>
      <bottom style="thin">
        <color indexed="8"/>
      </bottom>
    </border>
    <border>
      <left style="hair">
        <color indexed="8"/>
      </left>
      <right style="hair">
        <color indexed="8"/>
      </right>
      <top>
        <color indexed="63"/>
      </top>
      <bottom>
        <color indexed="63"/>
      </bottom>
    </border>
  </borders>
  <cellStyleXfs count="21">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1" fillId="2" borderId="1" applyNumberFormat="0" applyAlignment="0">
      <protection/>
    </xf>
  </cellStyleXfs>
  <cellXfs count="160">
    <xf numFmtId="164" fontId="0" fillId="0" borderId="0" xfId="0" applyAlignment="1">
      <alignment/>
    </xf>
    <xf numFmtId="164" fontId="0" fillId="0" borderId="0" xfId="0" applyAlignment="1" applyProtection="1">
      <alignment/>
      <protection/>
    </xf>
    <xf numFmtId="164" fontId="0" fillId="0" borderId="0" xfId="0" applyFill="1" applyBorder="1" applyAlignment="1" applyProtection="1">
      <alignment/>
      <protection/>
    </xf>
    <xf numFmtId="164" fontId="0" fillId="3" borderId="2" xfId="0" applyFont="1" applyFill="1" applyBorder="1" applyAlignment="1" applyProtection="1">
      <alignment horizontal="center"/>
      <protection locked="0"/>
    </xf>
    <xf numFmtId="164" fontId="0" fillId="0" borderId="0" xfId="0" applyFill="1" applyBorder="1" applyAlignment="1" applyProtection="1">
      <alignment horizontal="center"/>
      <protection/>
    </xf>
    <xf numFmtId="164" fontId="1" fillId="0" borderId="0" xfId="0" applyFont="1" applyAlignment="1" applyProtection="1">
      <alignment/>
      <protection/>
    </xf>
    <xf numFmtId="164" fontId="1" fillId="0" borderId="0" xfId="0" applyFont="1" applyBorder="1" applyAlignment="1" applyProtection="1">
      <alignment horizontal="center"/>
      <protection/>
    </xf>
    <xf numFmtId="164" fontId="1" fillId="0" borderId="0" xfId="0" applyFont="1" applyFill="1" applyBorder="1" applyAlignment="1" applyProtection="1">
      <alignment horizontal="left"/>
      <protection/>
    </xf>
    <xf numFmtId="164" fontId="1" fillId="0" borderId="0" xfId="0" applyFont="1" applyBorder="1" applyAlignment="1" applyProtection="1">
      <alignment horizontal="right"/>
      <protection/>
    </xf>
    <xf numFmtId="164" fontId="1" fillId="0" borderId="0" xfId="0" applyFont="1" applyFill="1" applyBorder="1" applyAlignment="1" applyProtection="1">
      <alignment horizontal="right"/>
      <protection/>
    </xf>
    <xf numFmtId="165" fontId="0" fillId="0" borderId="0" xfId="0" applyNumberFormat="1" applyFont="1" applyFill="1" applyBorder="1" applyAlignment="1" applyProtection="1">
      <alignment horizontal="left"/>
      <protection/>
    </xf>
    <xf numFmtId="164" fontId="0" fillId="0" borderId="0" xfId="0" applyAlignment="1" applyProtection="1">
      <alignment horizontal="center"/>
      <protection/>
    </xf>
    <xf numFmtId="164" fontId="0" fillId="0" borderId="0" xfId="0" applyFont="1" applyAlignment="1" applyProtection="1">
      <alignment horizontal="left"/>
      <protection/>
    </xf>
    <xf numFmtId="164" fontId="0" fillId="4" borderId="2" xfId="0" applyFill="1" applyBorder="1" applyAlignment="1" applyProtection="1">
      <alignment horizontal="center"/>
      <protection locked="0"/>
    </xf>
    <xf numFmtId="164" fontId="0" fillId="0" borderId="0" xfId="0" applyAlignment="1" applyProtection="1">
      <alignment horizontal="right"/>
      <protection/>
    </xf>
    <xf numFmtId="166" fontId="1" fillId="0" borderId="0" xfId="0" applyNumberFormat="1" applyFont="1" applyBorder="1" applyAlignment="1" applyProtection="1">
      <alignment horizontal="left"/>
      <protection/>
    </xf>
    <xf numFmtId="164" fontId="0" fillId="0" borderId="0" xfId="0" applyFont="1" applyFill="1" applyBorder="1" applyAlignment="1" applyProtection="1">
      <alignment horizontal="right"/>
      <protection/>
    </xf>
    <xf numFmtId="167" fontId="3" fillId="0" borderId="0" xfId="0" applyNumberFormat="1" applyFont="1" applyAlignment="1" applyProtection="1">
      <alignment horizontal="left"/>
      <protection/>
    </xf>
    <xf numFmtId="164" fontId="3" fillId="0" borderId="0" xfId="0" applyFont="1" applyAlignment="1" applyProtection="1">
      <alignment horizontal="right"/>
      <protection/>
    </xf>
    <xf numFmtId="164" fontId="1" fillId="0" borderId="0" xfId="0" applyFont="1" applyAlignment="1" applyProtection="1">
      <alignment horizontal="right"/>
      <protection/>
    </xf>
    <xf numFmtId="168" fontId="0" fillId="3" borderId="3" xfId="0" applyNumberFormat="1" applyFill="1" applyBorder="1" applyAlignment="1" applyProtection="1">
      <alignment horizontal="right"/>
      <protection locked="0"/>
    </xf>
    <xf numFmtId="168" fontId="0" fillId="5" borderId="4" xfId="0" applyNumberFormat="1" applyFill="1" applyBorder="1" applyAlignment="1" applyProtection="1">
      <alignment horizontal="center"/>
      <protection/>
    </xf>
    <xf numFmtId="169" fontId="0" fillId="0" borderId="0" xfId="0" applyNumberFormat="1" applyFill="1" applyBorder="1" applyAlignment="1" applyProtection="1">
      <alignment horizontal="center"/>
      <protection/>
    </xf>
    <xf numFmtId="164" fontId="1" fillId="0" borderId="0" xfId="0" applyNumberFormat="1" applyFont="1" applyAlignment="1" applyProtection="1">
      <alignment horizontal="left"/>
      <protection/>
    </xf>
    <xf numFmtId="164" fontId="0" fillId="0" borderId="0" xfId="0" applyFont="1" applyAlignment="1" applyProtection="1">
      <alignment horizontal="right"/>
      <protection/>
    </xf>
    <xf numFmtId="164" fontId="0" fillId="0" borderId="0" xfId="0" applyFont="1" applyAlignment="1" applyProtection="1">
      <alignment/>
      <protection/>
    </xf>
    <xf numFmtId="168" fontId="0" fillId="0" borderId="3" xfId="0" applyNumberFormat="1" applyBorder="1" applyAlignment="1" applyProtection="1">
      <alignment horizontal="right"/>
      <protection/>
    </xf>
    <xf numFmtId="168" fontId="0" fillId="0" borderId="4" xfId="0" applyNumberFormat="1" applyBorder="1" applyAlignment="1" applyProtection="1">
      <alignment horizontal="center"/>
      <protection/>
    </xf>
    <xf numFmtId="164" fontId="1" fillId="0" borderId="0" xfId="0" applyFont="1" applyAlignment="1" applyProtection="1">
      <alignment horizontal="left"/>
      <protection/>
    </xf>
    <xf numFmtId="164" fontId="1" fillId="0" borderId="0" xfId="0" applyNumberFormat="1" applyFont="1" applyFill="1" applyBorder="1" applyAlignment="1" applyProtection="1">
      <alignment horizontal="left"/>
      <protection/>
    </xf>
    <xf numFmtId="164" fontId="0" fillId="4" borderId="2" xfId="0" applyFont="1" applyFill="1" applyBorder="1" applyAlignment="1" applyProtection="1">
      <alignment horizontal="left"/>
      <protection locked="0"/>
    </xf>
    <xf numFmtId="164" fontId="0" fillId="4" borderId="2" xfId="0" applyFill="1" applyBorder="1" applyAlignment="1" applyProtection="1">
      <alignment horizontal="center"/>
      <protection/>
    </xf>
    <xf numFmtId="164" fontId="0" fillId="4" borderId="2" xfId="0" applyFont="1" applyFill="1" applyBorder="1" applyAlignment="1" applyProtection="1">
      <alignment horizontal="left" vertical="top" wrapText="1"/>
      <protection locked="0"/>
    </xf>
    <xf numFmtId="164" fontId="0" fillId="3" borderId="2" xfId="0" applyFill="1" applyBorder="1" applyAlignment="1" applyProtection="1">
      <alignment horizontal="center"/>
      <protection/>
    </xf>
    <xf numFmtId="164" fontId="0" fillId="0" borderId="0" xfId="0" applyAlignment="1" applyProtection="1">
      <alignment/>
      <protection/>
    </xf>
    <xf numFmtId="164" fontId="0" fillId="6" borderId="2" xfId="0" applyFill="1" applyBorder="1" applyAlignment="1" applyProtection="1">
      <alignment horizontal="center"/>
      <protection/>
    </xf>
    <xf numFmtId="170" fontId="0" fillId="0" borderId="0" xfId="0" applyNumberFormat="1" applyFill="1" applyBorder="1" applyAlignment="1" applyProtection="1">
      <alignment horizontal="right"/>
      <protection/>
    </xf>
    <xf numFmtId="164" fontId="3" fillId="0" borderId="0" xfId="0" applyFont="1" applyBorder="1" applyAlignment="1" applyProtection="1">
      <alignment horizontal="right"/>
      <protection/>
    </xf>
    <xf numFmtId="164" fontId="0" fillId="0" borderId="0" xfId="0" applyAlignment="1" applyProtection="1">
      <alignment/>
      <protection locked="0"/>
    </xf>
    <xf numFmtId="164" fontId="0" fillId="0" borderId="0" xfId="0" applyFont="1" applyBorder="1" applyAlignment="1" applyProtection="1">
      <alignment horizontal="right"/>
      <protection/>
    </xf>
    <xf numFmtId="164" fontId="0" fillId="0" borderId="5" xfId="0" applyBorder="1" applyAlignment="1" applyProtection="1">
      <alignment horizontal="right"/>
      <protection/>
    </xf>
    <xf numFmtId="171" fontId="1" fillId="4" borderId="2" xfId="0" applyNumberFormat="1" applyFont="1" applyFill="1" applyBorder="1" applyAlignment="1" applyProtection="1">
      <alignment horizontal="center"/>
      <protection locked="0"/>
    </xf>
    <xf numFmtId="164" fontId="0" fillId="0" borderId="0" xfId="0" applyFont="1" applyFill="1" applyBorder="1" applyAlignment="1" applyProtection="1">
      <alignment horizontal="left"/>
      <protection/>
    </xf>
    <xf numFmtId="164" fontId="0" fillId="0" borderId="0" xfId="0" applyBorder="1" applyAlignment="1" applyProtection="1">
      <alignment/>
      <protection/>
    </xf>
    <xf numFmtId="164" fontId="1" fillId="0" borderId="6" xfId="0" applyFont="1" applyFill="1" applyBorder="1" applyAlignment="1" applyProtection="1">
      <alignment horizontal="center" textRotation="90"/>
      <protection/>
    </xf>
    <xf numFmtId="164" fontId="0" fillId="0" borderId="0" xfId="0" applyNumberFormat="1" applyAlignment="1" applyProtection="1">
      <alignment/>
      <protection locked="0"/>
    </xf>
    <xf numFmtId="172" fontId="0" fillId="0" borderId="0" xfId="0" applyNumberFormat="1" applyBorder="1" applyAlignment="1" applyProtection="1">
      <alignment horizontal="right"/>
      <protection/>
    </xf>
    <xf numFmtId="164" fontId="1" fillId="0" borderId="7" xfId="0" applyFont="1" applyFill="1" applyBorder="1" applyAlignment="1" applyProtection="1">
      <alignment horizontal="center" textRotation="90"/>
      <protection/>
    </xf>
    <xf numFmtId="164" fontId="6" fillId="0" borderId="7" xfId="0" applyFont="1" applyBorder="1" applyAlignment="1" applyProtection="1">
      <alignment horizontal="center" textRotation="90"/>
      <protection/>
    </xf>
    <xf numFmtId="164" fontId="1" fillId="0" borderId="7" xfId="0" applyFont="1" applyBorder="1" applyAlignment="1" applyProtection="1">
      <alignment horizontal="center"/>
      <protection/>
    </xf>
    <xf numFmtId="164" fontId="0" fillId="3" borderId="2" xfId="0" applyFont="1" applyFill="1" applyBorder="1" applyAlignment="1" applyProtection="1">
      <alignment horizontal="left"/>
      <protection locked="0"/>
    </xf>
    <xf numFmtId="164" fontId="0" fillId="4" borderId="3" xfId="0" applyFill="1" applyBorder="1" applyAlignment="1" applyProtection="1">
      <alignment/>
      <protection locked="0"/>
    </xf>
    <xf numFmtId="171" fontId="1" fillId="0" borderId="4" xfId="0" applyNumberFormat="1" applyFont="1" applyBorder="1" applyAlignment="1" applyProtection="1">
      <alignment horizontal="left"/>
      <protection/>
    </xf>
    <xf numFmtId="164" fontId="0" fillId="3" borderId="2" xfId="0" applyFill="1" applyBorder="1" applyAlignment="1" applyProtection="1">
      <alignment horizontal="center"/>
      <protection locked="0"/>
    </xf>
    <xf numFmtId="173" fontId="0" fillId="0" borderId="0" xfId="0" applyNumberFormat="1" applyAlignment="1" applyProtection="1">
      <alignment horizontal="center"/>
      <protection/>
    </xf>
    <xf numFmtId="164" fontId="1" fillId="0" borderId="0" xfId="0" applyFont="1" applyFill="1" applyBorder="1" applyAlignment="1" applyProtection="1">
      <alignment/>
      <protection/>
    </xf>
    <xf numFmtId="164" fontId="0" fillId="3" borderId="3" xfId="0" applyFont="1" applyFill="1" applyBorder="1" applyAlignment="1" applyProtection="1">
      <alignment horizontal="left"/>
      <protection locked="0"/>
    </xf>
    <xf numFmtId="164" fontId="0" fillId="0" borderId="2" xfId="0" applyBorder="1" applyAlignment="1" applyProtection="1">
      <alignment/>
      <protection/>
    </xf>
    <xf numFmtId="164" fontId="1" fillId="0" borderId="0" xfId="0" applyFont="1" applyAlignment="1" applyProtection="1">
      <alignment horizontal="center"/>
      <protection/>
    </xf>
    <xf numFmtId="164" fontId="1" fillId="0" borderId="8" xfId="0" applyFont="1" applyBorder="1" applyAlignment="1" applyProtection="1">
      <alignment horizontal="center"/>
      <protection/>
    </xf>
    <xf numFmtId="164" fontId="0" fillId="0" borderId="3" xfId="0" applyFont="1" applyFill="1" applyBorder="1" applyAlignment="1" applyProtection="1">
      <alignment horizontal="center"/>
      <protection/>
    </xf>
    <xf numFmtId="164" fontId="7" fillId="0" borderId="0" xfId="0" applyFont="1" applyAlignment="1" applyProtection="1">
      <alignment/>
      <protection/>
    </xf>
    <xf numFmtId="164" fontId="7" fillId="0" borderId="0" xfId="0" applyFont="1" applyFill="1" applyBorder="1" applyAlignment="1" applyProtection="1">
      <alignment/>
      <protection/>
    </xf>
    <xf numFmtId="164" fontId="0" fillId="4" borderId="2" xfId="0" applyFill="1" applyBorder="1" applyAlignment="1" applyProtection="1">
      <alignment horizontal="left"/>
      <protection locked="0"/>
    </xf>
    <xf numFmtId="164" fontId="1" fillId="2" borderId="2" xfId="0" applyFont="1" applyFill="1" applyBorder="1" applyAlignment="1" applyProtection="1">
      <alignment horizontal="left"/>
      <protection/>
    </xf>
    <xf numFmtId="164" fontId="1" fillId="2" borderId="2" xfId="0" applyFont="1" applyFill="1" applyBorder="1" applyAlignment="1" applyProtection="1">
      <alignment horizontal="center"/>
      <protection/>
    </xf>
    <xf numFmtId="164" fontId="1" fillId="2" borderId="2" xfId="0" applyFont="1" applyFill="1" applyBorder="1" applyAlignment="1" applyProtection="1">
      <alignment/>
      <protection/>
    </xf>
    <xf numFmtId="164" fontId="1" fillId="0" borderId="0" xfId="0" applyFont="1" applyAlignment="1">
      <alignment/>
    </xf>
    <xf numFmtId="164" fontId="0" fillId="0" borderId="2" xfId="0" applyBorder="1" applyAlignment="1" applyProtection="1">
      <alignment horizontal="center"/>
      <protection/>
    </xf>
    <xf numFmtId="164" fontId="1" fillId="0" borderId="2" xfId="0" applyFont="1" applyBorder="1" applyAlignment="1" applyProtection="1">
      <alignment/>
      <protection/>
    </xf>
    <xf numFmtId="174" fontId="1" fillId="0" borderId="2" xfId="0" applyNumberFormat="1" applyFont="1" applyBorder="1" applyAlignment="1" applyProtection="1">
      <alignment/>
      <protection/>
    </xf>
    <xf numFmtId="164" fontId="1" fillId="0" borderId="2" xfId="0" applyFont="1" applyBorder="1" applyAlignment="1" applyProtection="1">
      <alignment horizontal="left"/>
      <protection/>
    </xf>
    <xf numFmtId="175" fontId="0" fillId="0" borderId="0" xfId="0" applyNumberFormat="1" applyAlignment="1" applyProtection="1">
      <alignment/>
      <protection/>
    </xf>
    <xf numFmtId="164" fontId="1" fillId="2" borderId="3" xfId="0" applyFont="1" applyFill="1" applyBorder="1" applyAlignment="1" applyProtection="1">
      <alignment horizontal="left"/>
      <protection/>
    </xf>
    <xf numFmtId="164" fontId="1" fillId="2" borderId="8" xfId="0" applyFont="1" applyFill="1" applyBorder="1" applyAlignment="1" applyProtection="1">
      <alignment horizontal="left"/>
      <protection/>
    </xf>
    <xf numFmtId="164" fontId="0" fillId="0" borderId="0" xfId="0" applyBorder="1" applyAlignment="1" applyProtection="1">
      <alignment horizontal="left"/>
      <protection/>
    </xf>
    <xf numFmtId="164" fontId="0" fillId="4" borderId="2" xfId="0" applyFont="1" applyFill="1" applyBorder="1" applyAlignment="1" applyProtection="1">
      <alignment horizontal="center"/>
      <protection locked="0"/>
    </xf>
    <xf numFmtId="170" fontId="0" fillId="0" borderId="0" xfId="0" applyNumberFormat="1" applyAlignment="1" applyProtection="1">
      <alignment/>
      <protection/>
    </xf>
    <xf numFmtId="164" fontId="0" fillId="0" borderId="2" xfId="0" applyBorder="1" applyAlignment="1" applyProtection="1">
      <alignment horizontal="center"/>
      <protection locked="0"/>
    </xf>
    <xf numFmtId="164" fontId="0" fillId="0" borderId="0" xfId="0" applyFont="1" applyAlignment="1">
      <alignment/>
    </xf>
    <xf numFmtId="164" fontId="1" fillId="0" borderId="0" xfId="0" applyFont="1" applyFill="1" applyBorder="1" applyAlignment="1">
      <alignment/>
    </xf>
    <xf numFmtId="164" fontId="1" fillId="0" borderId="0" xfId="0" applyFont="1" applyBorder="1" applyAlignment="1">
      <alignment horizontal="left"/>
    </xf>
    <xf numFmtId="164" fontId="1" fillId="0" borderId="0" xfId="0" applyFont="1" applyBorder="1" applyAlignment="1">
      <alignment/>
    </xf>
    <xf numFmtId="164" fontId="1" fillId="0" borderId="0" xfId="0" applyFont="1" applyFill="1" applyBorder="1" applyAlignment="1">
      <alignment horizontal="left"/>
    </xf>
    <xf numFmtId="164" fontId="9" fillId="0" borderId="0" xfId="0" applyFont="1" applyAlignment="1">
      <alignment/>
    </xf>
    <xf numFmtId="170" fontId="0" fillId="0" borderId="0" xfId="0" applyNumberFormat="1" applyAlignment="1" applyProtection="1">
      <alignment horizontal="right"/>
      <protection/>
    </xf>
    <xf numFmtId="170" fontId="0" fillId="0" borderId="0" xfId="0" applyNumberFormat="1" applyAlignment="1" applyProtection="1">
      <alignment horizontal="left"/>
      <protection/>
    </xf>
    <xf numFmtId="164" fontId="0" fillId="0" borderId="0" xfId="0" applyAlignment="1" applyProtection="1">
      <alignment horizontal="left"/>
      <protection/>
    </xf>
    <xf numFmtId="164" fontId="0" fillId="0" borderId="2" xfId="0" applyFont="1" applyBorder="1" applyAlignment="1" applyProtection="1">
      <alignment horizontal="left"/>
      <protection/>
    </xf>
    <xf numFmtId="164" fontId="0" fillId="0" borderId="6" xfId="0" applyBorder="1" applyAlignment="1" applyProtection="1">
      <alignment/>
      <protection/>
    </xf>
    <xf numFmtId="164" fontId="1" fillId="0" borderId="7" xfId="0" applyFont="1" applyBorder="1" applyAlignment="1" applyProtection="1">
      <alignment/>
      <protection/>
    </xf>
    <xf numFmtId="164" fontId="0" fillId="0" borderId="7" xfId="0" applyBorder="1" applyAlignment="1" applyProtection="1">
      <alignment/>
      <protection/>
    </xf>
    <xf numFmtId="175" fontId="0" fillId="0" borderId="0" xfId="15" applyNumberFormat="1" applyFont="1" applyFill="1" applyBorder="1" applyAlignment="1" applyProtection="1">
      <alignment/>
      <protection/>
    </xf>
    <xf numFmtId="175" fontId="1" fillId="2" borderId="2" xfId="15" applyNumberFormat="1" applyFont="1" applyFill="1" applyBorder="1" applyAlignment="1" applyProtection="1">
      <alignment horizontal="center"/>
      <protection/>
    </xf>
    <xf numFmtId="164" fontId="0" fillId="3" borderId="2" xfId="0" applyFill="1" applyBorder="1" applyAlignment="1" applyProtection="1">
      <alignment/>
      <protection locked="0"/>
    </xf>
    <xf numFmtId="164" fontId="0" fillId="3" borderId="2" xfId="0" applyFill="1" applyBorder="1" applyAlignment="1" applyProtection="1">
      <alignment horizontal="left"/>
      <protection locked="0"/>
    </xf>
    <xf numFmtId="164" fontId="0" fillId="0" borderId="2" xfId="0" applyFill="1" applyBorder="1" applyAlignment="1" applyProtection="1">
      <alignment horizontal="center"/>
      <protection/>
    </xf>
    <xf numFmtId="175" fontId="0" fillId="0" borderId="2" xfId="15" applyNumberFormat="1" applyFont="1" applyFill="1" applyBorder="1" applyAlignment="1" applyProtection="1">
      <alignment/>
      <protection/>
    </xf>
    <xf numFmtId="164" fontId="1" fillId="0" borderId="3" xfId="0" applyFont="1" applyBorder="1" applyAlignment="1" applyProtection="1">
      <alignment horizontal="left"/>
      <protection/>
    </xf>
    <xf numFmtId="164" fontId="1" fillId="0" borderId="8" xfId="0" applyFont="1" applyBorder="1" applyAlignment="1" applyProtection="1">
      <alignment horizontal="left"/>
      <protection/>
    </xf>
    <xf numFmtId="164" fontId="1" fillId="0" borderId="4" xfId="0" applyFont="1" applyBorder="1" applyAlignment="1" applyProtection="1">
      <alignment/>
      <protection/>
    </xf>
    <xf numFmtId="175" fontId="1" fillId="0" borderId="2" xfId="15" applyNumberFormat="1" applyFont="1" applyFill="1" applyBorder="1" applyAlignment="1" applyProtection="1">
      <alignment/>
      <protection/>
    </xf>
    <xf numFmtId="164" fontId="1" fillId="0" borderId="0" xfId="0" applyFont="1" applyBorder="1" applyAlignment="1" applyProtection="1">
      <alignment/>
      <protection/>
    </xf>
    <xf numFmtId="164" fontId="1" fillId="0" borderId="9" xfId="0" applyFont="1" applyBorder="1" applyAlignment="1" applyProtection="1">
      <alignment/>
      <protection/>
    </xf>
    <xf numFmtId="175" fontId="1" fillId="0" borderId="7" xfId="15" applyNumberFormat="1" applyFont="1" applyFill="1" applyBorder="1" applyAlignment="1" applyProtection="1">
      <alignment/>
      <protection/>
    </xf>
    <xf numFmtId="164" fontId="0" fillId="2" borderId="4" xfId="0" applyFill="1" applyBorder="1" applyAlignment="1" applyProtection="1">
      <alignment/>
      <protection/>
    </xf>
    <xf numFmtId="164" fontId="1" fillId="2" borderId="4" xfId="0" applyFont="1" applyFill="1" applyBorder="1" applyAlignment="1" applyProtection="1">
      <alignment/>
      <protection/>
    </xf>
    <xf numFmtId="175" fontId="1" fillId="2" borderId="2" xfId="15" applyNumberFormat="1" applyFont="1" applyFill="1" applyBorder="1" applyAlignment="1" applyProtection="1">
      <alignment/>
      <protection/>
    </xf>
    <xf numFmtId="164" fontId="1" fillId="2" borderId="4" xfId="0" applyFont="1" applyFill="1" applyBorder="1" applyAlignment="1" applyProtection="1">
      <alignment horizontal="center"/>
      <protection/>
    </xf>
    <xf numFmtId="164" fontId="1" fillId="2" borderId="1" xfId="0" applyFont="1" applyFill="1" applyBorder="1" applyAlignment="1" applyProtection="1">
      <alignment horizontal="center"/>
      <protection/>
    </xf>
    <xf numFmtId="164" fontId="1" fillId="0" borderId="2" xfId="0" applyFont="1" applyFill="1" applyBorder="1" applyAlignment="1" applyProtection="1">
      <alignment horizontal="left"/>
      <protection/>
    </xf>
    <xf numFmtId="164" fontId="0" fillId="0" borderId="4" xfId="0" applyFont="1" applyBorder="1" applyAlignment="1" applyProtection="1">
      <alignment horizontal="center"/>
      <protection/>
    </xf>
    <xf numFmtId="164" fontId="0" fillId="0" borderId="2" xfId="0" applyFont="1" applyBorder="1" applyAlignment="1" applyProtection="1">
      <alignment horizontal="center"/>
      <protection/>
    </xf>
    <xf numFmtId="164" fontId="0" fillId="3" borderId="1" xfId="0" applyFont="1" applyFill="1" applyBorder="1" applyAlignment="1" applyProtection="1">
      <alignment horizontal="center"/>
      <protection locked="0"/>
    </xf>
    <xf numFmtId="164" fontId="0" fillId="0" borderId="2" xfId="0" applyFont="1" applyBorder="1" applyAlignment="1" applyProtection="1">
      <alignment/>
      <protection/>
    </xf>
    <xf numFmtId="164" fontId="0" fillId="0" borderId="0" xfId="0" applyFont="1" applyAlignment="1" applyProtection="1">
      <alignment horizontal="center"/>
      <protection/>
    </xf>
    <xf numFmtId="168" fontId="0" fillId="0" borderId="2" xfId="0" applyNumberFormat="1" applyBorder="1" applyAlignment="1" applyProtection="1">
      <alignment horizontal="right"/>
      <protection/>
    </xf>
    <xf numFmtId="164" fontId="1" fillId="0" borderId="1" xfId="0" applyFont="1" applyFill="1" applyBorder="1" applyAlignment="1" applyProtection="1">
      <alignment horizontal="left"/>
      <protection/>
    </xf>
    <xf numFmtId="164" fontId="0" fillId="0" borderId="4" xfId="0" applyBorder="1" applyAlignment="1" applyProtection="1">
      <alignment horizontal="center"/>
      <protection/>
    </xf>
    <xf numFmtId="164" fontId="0" fillId="3" borderId="1" xfId="0" applyFill="1" applyBorder="1" applyAlignment="1" applyProtection="1">
      <alignment horizontal="center"/>
      <protection locked="0"/>
    </xf>
    <xf numFmtId="168" fontId="0" fillId="0" borderId="10" xfId="0" applyNumberFormat="1" applyBorder="1" applyAlignment="1" applyProtection="1">
      <alignment horizontal="right"/>
      <protection/>
    </xf>
    <xf numFmtId="168" fontId="0" fillId="0" borderId="11" xfId="0" applyNumberFormat="1" applyBorder="1" applyAlignment="1" applyProtection="1">
      <alignment/>
      <protection/>
    </xf>
    <xf numFmtId="164" fontId="1" fillId="0" borderId="1" xfId="20" applyNumberFormat="1" applyFont="1" applyFill="1" applyAlignment="1" applyProtection="1">
      <alignment horizontal="left"/>
      <protection/>
    </xf>
    <xf numFmtId="164" fontId="0" fillId="0" borderId="10" xfId="0" applyBorder="1" applyAlignment="1" applyProtection="1">
      <alignment/>
      <protection/>
    </xf>
    <xf numFmtId="164" fontId="1" fillId="0" borderId="6" xfId="0" applyFont="1" applyFill="1" applyBorder="1" applyAlignment="1" applyProtection="1">
      <alignment/>
      <protection/>
    </xf>
    <xf numFmtId="175" fontId="1" fillId="0" borderId="2" xfId="0" applyNumberFormat="1" applyFont="1" applyBorder="1" applyAlignment="1" applyProtection="1">
      <alignment/>
      <protection/>
    </xf>
    <xf numFmtId="164" fontId="0" fillId="0" borderId="11" xfId="0" applyBorder="1" applyAlignment="1" applyProtection="1">
      <alignment/>
      <protection/>
    </xf>
    <xf numFmtId="164" fontId="10" fillId="0" borderId="0" xfId="0" applyFont="1" applyAlignment="1" applyProtection="1">
      <alignment/>
      <protection/>
    </xf>
    <xf numFmtId="164" fontId="0" fillId="0" borderId="0" xfId="0" applyAlignment="1" applyProtection="1">
      <alignment horizontal="center" vertical="center"/>
      <protection/>
    </xf>
    <xf numFmtId="171" fontId="1" fillId="0" borderId="0" xfId="0" applyNumberFormat="1" applyFont="1" applyAlignment="1" applyProtection="1">
      <alignment horizontal="left" vertical="center"/>
      <protection/>
    </xf>
    <xf numFmtId="164" fontId="0" fillId="3" borderId="10" xfId="0" applyFill="1" applyBorder="1" applyAlignment="1" applyProtection="1">
      <alignment horizontal="left"/>
      <protection locked="0"/>
    </xf>
    <xf numFmtId="164" fontId="1" fillId="0" borderId="12" xfId="0" applyFont="1" applyFill="1" applyBorder="1" applyAlignment="1" applyProtection="1">
      <alignment horizontal="center"/>
      <protection/>
    </xf>
    <xf numFmtId="177" fontId="1" fillId="0" borderId="2" xfId="0" applyNumberFormat="1" applyFont="1" applyBorder="1" applyAlignment="1" applyProtection="1">
      <alignment/>
      <protection/>
    </xf>
    <xf numFmtId="164" fontId="1" fillId="0" borderId="12" xfId="0" applyFont="1" applyFill="1" applyBorder="1" applyAlignment="1" applyProtection="1">
      <alignment horizontal="left"/>
      <protection/>
    </xf>
    <xf numFmtId="164" fontId="0" fillId="0" borderId="13" xfId="0" applyFont="1" applyBorder="1" applyAlignment="1" applyProtection="1">
      <alignment/>
      <protection/>
    </xf>
    <xf numFmtId="164" fontId="0" fillId="0" borderId="14" xfId="0" applyFont="1" applyBorder="1" applyAlignment="1" applyProtection="1">
      <alignment/>
      <protection/>
    </xf>
    <xf numFmtId="164" fontId="0" fillId="3" borderId="4" xfId="0" applyFill="1" applyBorder="1" applyAlignment="1" applyProtection="1">
      <alignment horizontal="center"/>
      <protection locked="0"/>
    </xf>
    <xf numFmtId="164" fontId="10" fillId="0" borderId="0" xfId="0" applyFont="1" applyAlignment="1" applyProtection="1">
      <alignment/>
      <protection/>
    </xf>
    <xf numFmtId="164" fontId="0" fillId="0" borderId="0" xfId="0" applyAlignment="1">
      <alignment horizontal="center"/>
    </xf>
    <xf numFmtId="175" fontId="0" fillId="0" borderId="0" xfId="15" applyNumberFormat="1" applyFont="1" applyFill="1" applyBorder="1" applyAlignment="1" applyProtection="1">
      <alignment horizontal="center"/>
      <protection/>
    </xf>
    <xf numFmtId="164" fontId="1" fillId="0" borderId="0" xfId="0" applyFont="1" applyBorder="1" applyAlignment="1">
      <alignment horizontal="center"/>
    </xf>
    <xf numFmtId="164" fontId="6" fillId="0" borderId="0" xfId="0" applyFont="1" applyBorder="1" applyAlignment="1">
      <alignment horizontal="center"/>
    </xf>
    <xf numFmtId="175" fontId="1" fillId="0" borderId="0" xfId="15" applyNumberFormat="1" applyFont="1" applyFill="1" applyBorder="1" applyAlignment="1" applyProtection="1">
      <alignment horizontal="center"/>
      <protection/>
    </xf>
    <xf numFmtId="178" fontId="0" fillId="0" borderId="0" xfId="0" applyNumberFormat="1" applyAlignment="1">
      <alignment horizontal="center"/>
    </xf>
    <xf numFmtId="164" fontId="0" fillId="0" borderId="0" xfId="0" applyNumberFormat="1" applyFont="1" applyAlignment="1">
      <alignment horizontal="center"/>
    </xf>
    <xf numFmtId="170" fontId="0" fillId="0" borderId="0" xfId="0" applyNumberFormat="1" applyAlignment="1">
      <alignment horizontal="center"/>
    </xf>
    <xf numFmtId="170" fontId="0" fillId="0" borderId="0" xfId="0" applyNumberFormat="1" applyAlignment="1">
      <alignment/>
    </xf>
    <xf numFmtId="164" fontId="1" fillId="0" borderId="0" xfId="0" applyFont="1" applyAlignment="1">
      <alignment horizontal="center"/>
    </xf>
    <xf numFmtId="164" fontId="1" fillId="0" borderId="15" xfId="0" applyFont="1" applyBorder="1" applyAlignment="1">
      <alignment/>
    </xf>
    <xf numFmtId="164" fontId="0" fillId="4" borderId="16" xfId="0" applyFill="1" applyBorder="1" applyAlignment="1" applyProtection="1">
      <alignment/>
      <protection locked="0"/>
    </xf>
    <xf numFmtId="164" fontId="0" fillId="4" borderId="16" xfId="0" applyFont="1" applyFill="1" applyBorder="1" applyAlignment="1" applyProtection="1">
      <alignment horizontal="left"/>
      <protection locked="0"/>
    </xf>
    <xf numFmtId="164" fontId="0" fillId="4" borderId="16" xfId="0" applyFill="1" applyBorder="1" applyAlignment="1" applyProtection="1">
      <alignment horizontal="left"/>
      <protection locked="0"/>
    </xf>
    <xf numFmtId="164" fontId="0" fillId="4" borderId="16" xfId="0" applyFont="1" applyFill="1" applyBorder="1" applyAlignment="1" applyProtection="1">
      <alignment/>
      <protection locked="0"/>
    </xf>
    <xf numFmtId="164" fontId="0" fillId="4" borderId="16" xfId="0" applyNumberFormat="1" applyFill="1" applyBorder="1" applyAlignment="1" applyProtection="1">
      <alignment horizontal="left"/>
      <protection locked="0"/>
    </xf>
    <xf numFmtId="164" fontId="0" fillId="0" borderId="5" xfId="0" applyBorder="1" applyAlignment="1">
      <alignment/>
    </xf>
    <xf numFmtId="164" fontId="0" fillId="0" borderId="0" xfId="0" applyNumberFormat="1" applyAlignment="1">
      <alignment/>
    </xf>
    <xf numFmtId="164" fontId="0" fillId="7" borderId="0" xfId="0" applyFont="1" applyFill="1" applyAlignment="1">
      <alignment/>
    </xf>
    <xf numFmtId="164" fontId="0" fillId="0" borderId="0" xfId="0" applyFont="1" applyAlignment="1">
      <alignment horizontal="center"/>
    </xf>
    <xf numFmtId="164" fontId="1" fillId="7" borderId="0" xfId="0" applyFont="1" applyFill="1" applyAlignment="1">
      <alignment/>
    </xf>
    <xf numFmtId="169" fontId="0" fillId="0" borderId="0" xfId="0" applyNumberFormat="1" applyFont="1" applyAlignment="1">
      <alignment/>
    </xf>
  </cellXfs>
  <cellStyles count="7">
    <cellStyle name="Normal" xfId="0"/>
    <cellStyle name="Comma" xfId="15"/>
    <cellStyle name="Comma [0]" xfId="16"/>
    <cellStyle name="Currency" xfId="17"/>
    <cellStyle name="Currency [0]" xfId="18"/>
    <cellStyle name="Percent" xfId="19"/>
    <cellStyle name="GrayedOut" xfId="20"/>
  </cellStyles>
  <dxfs count="14">
    <dxf>
      <fill>
        <patternFill patternType="solid">
          <fgColor rgb="FFCCFFCC"/>
          <bgColor rgb="FF99FF99"/>
        </patternFill>
      </fill>
      <border/>
    </dxf>
    <dxf>
      <font>
        <b val="0"/>
        <i/>
      </font>
      <fill>
        <patternFill patternType="solid">
          <fgColor rgb="FFCCFFCC"/>
          <bgColor rgb="FFCCFFFF"/>
        </patternFill>
      </fill>
      <border/>
    </dxf>
    <dxf>
      <font>
        <b val="0"/>
        <color rgb="FF808080"/>
      </font>
      <fill>
        <patternFill patternType="solid">
          <fgColor rgb="FF969696"/>
          <bgColor rgb="FF808080"/>
        </patternFill>
      </fill>
      <border/>
    </dxf>
    <dxf>
      <font>
        <b val="0"/>
        <color rgb="FFFF0000"/>
      </font>
      <fill>
        <patternFill patternType="solid">
          <fgColor rgb="FFFFFF00"/>
          <bgColor rgb="FFFFFF00"/>
        </patternFill>
      </fill>
      <border/>
    </dxf>
    <dxf>
      <font>
        <b/>
        <i val="0"/>
        <color rgb="FFFF0000"/>
      </font>
      <fill>
        <patternFill patternType="solid">
          <fgColor rgb="FFFFFF00"/>
          <bgColor rgb="FFFFFF00"/>
        </patternFill>
      </fill>
      <border/>
    </dxf>
    <dxf>
      <font>
        <b val="0"/>
        <color rgb="FFFF9900"/>
      </font>
      <fill>
        <patternFill patternType="solid">
          <fgColor rgb="FFFFFFCC"/>
          <bgColor rgb="FFFFFF99"/>
        </patternFill>
      </fill>
      <border/>
    </dxf>
    <dxf>
      <font>
        <b val="0"/>
        <color rgb="FFFFFFFF"/>
      </font>
      <fill>
        <patternFill patternType="none">
          <fgColor indexed="64"/>
          <bgColor indexed="65"/>
        </patternFill>
      </fill>
      <border>
        <left>
          <color rgb="FF000000"/>
        </left>
        <right>
          <color rgb="FF000000"/>
        </right>
        <top>
          <color rgb="FF000000"/>
        </top>
        <bottom>
          <color rgb="FF000000"/>
        </bottom>
      </border>
    </dxf>
    <dxf>
      <fill>
        <patternFill patternType="solid">
          <fgColor rgb="FFCCFFCC"/>
          <bgColor rgb="FFCCFFFF"/>
        </patternFill>
      </fill>
      <border>
        <left style="thin">
          <color rgb="FF000000"/>
        </left>
        <right style="thin">
          <color rgb="FF000000"/>
        </right>
        <top/>
        <bottom style="thin">
          <color rgb="FF000000"/>
        </bottom>
      </border>
    </dxf>
    <dxf>
      <font>
        <b/>
        <i val="0"/>
        <color rgb="FFFF0000"/>
      </font>
      <fill>
        <patternFill patternType="solid">
          <fgColor rgb="FFFFFF00"/>
          <bgColor rgb="FFDFDF00"/>
        </patternFill>
      </fill>
      <border/>
    </dxf>
    <dxf>
      <fill>
        <patternFill patternType="solid">
          <fgColor rgb="FFCCFFCC"/>
          <bgColor rgb="FFDFDFDF"/>
        </patternFill>
      </fill>
      <border/>
    </dxf>
    <dxf>
      <font>
        <b/>
        <i val="0"/>
        <color rgb="FFFF0000"/>
      </font>
      <fill>
        <patternFill patternType="solid">
          <fgColor rgb="FF969696"/>
          <bgColor rgb="FF808080"/>
        </patternFill>
      </fill>
      <border/>
    </dxf>
    <dxf>
      <border/>
    </dxf>
    <dxf>
      <font>
        <b/>
        <i val="0"/>
        <color rgb="FFFF0000"/>
      </font>
      <fill>
        <patternFill patternType="solid">
          <fgColor rgb="FFCCFFCC"/>
          <bgColor rgb="FFDFDFDF"/>
        </patternFill>
      </fill>
      <border/>
    </dxf>
    <dxf>
      <font>
        <b/>
        <i val="0"/>
        <sz val="10"/>
        <color rgb="FFFF0000"/>
      </font>
      <fill>
        <patternFill patternType="solid">
          <fgColor rgb="FFCCFFCC"/>
          <bgColor rgb="FFDFDFDF"/>
        </patternFill>
      </fill>
      <border>
        <left style="thin">
          <color rgb="FF000000"/>
        </left>
        <right style="thin">
          <color rgb="FF000000"/>
        </right>
        <top/>
        <bottom style="thin">
          <color rgb="FF000000"/>
        </bottom>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DFDFDF"/>
      <rgbColor rgb="00000080"/>
      <rgbColor rgb="00FF00FF"/>
      <rgbColor rgb="00FFFF00"/>
      <rgbColor rgb="0000FFFF"/>
      <rgbColor rgb="00800080"/>
      <rgbColor rgb="00800000"/>
      <rgbColor rgb="00008080"/>
      <rgbColor rgb="000000FF"/>
      <rgbColor rgb="0000CCFF"/>
      <rgbColor rgb="0099FF99"/>
      <rgbColor rgb="00CCFFCC"/>
      <rgbColor rgb="00FFFF99"/>
      <rgbColor rgb="0099CCFF"/>
      <rgbColor rgb="00FF99CC"/>
      <rgbColor rgb="00CC99FF"/>
      <rgbColor rgb="00FFCC99"/>
      <rgbColor rgb="003366FF"/>
      <rgbColor rgb="0033CCCC"/>
      <rgbColor rgb="0099CC00"/>
      <rgbColor rgb="00DFDF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152400</xdr:colOff>
      <xdr:row>4</xdr:row>
      <xdr:rowOff>28575</xdr:rowOff>
    </xdr:from>
    <xdr:to>
      <xdr:col>25</xdr:col>
      <xdr:colOff>19050</xdr:colOff>
      <xdr:row>10</xdr:row>
      <xdr:rowOff>76200</xdr:rowOff>
    </xdr:to>
    <xdr:sp>
      <xdr:nvSpPr>
        <xdr:cNvPr id="1" name="Rectangle 13"/>
        <xdr:cNvSpPr>
          <a:spLocks/>
        </xdr:cNvSpPr>
      </xdr:nvSpPr>
      <xdr:spPr>
        <a:xfrm>
          <a:off x="7381875" y="676275"/>
          <a:ext cx="2095500" cy="1019175"/>
        </a:xfrm>
        <a:prstGeom prst="rect">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21</xdr:col>
      <xdr:colOff>152400</xdr:colOff>
      <xdr:row>13</xdr:row>
      <xdr:rowOff>28575</xdr:rowOff>
    </xdr:from>
    <xdr:to>
      <xdr:col>25</xdr:col>
      <xdr:colOff>219075</xdr:colOff>
      <xdr:row>19</xdr:row>
      <xdr:rowOff>85725</xdr:rowOff>
    </xdr:to>
    <xdr:sp>
      <xdr:nvSpPr>
        <xdr:cNvPr id="2" name="Rectangle 15"/>
        <xdr:cNvSpPr>
          <a:spLocks/>
        </xdr:cNvSpPr>
      </xdr:nvSpPr>
      <xdr:spPr>
        <a:xfrm>
          <a:off x="7381875" y="2133600"/>
          <a:ext cx="2295525" cy="1028700"/>
        </a:xfrm>
        <a:prstGeom prst="rect">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s>
</file>

<file path=xl/worksheets/sheet1.xml><?xml version="1.0" encoding="utf-8"?>
<worksheet xmlns="http://schemas.openxmlformats.org/spreadsheetml/2006/main" xmlns:r="http://schemas.openxmlformats.org/officeDocument/2006/relationships">
  <sheetPr codeName="Sheet1">
    <pageSetUpPr fitToPage="1"/>
  </sheetPr>
  <dimension ref="A1:AD47"/>
  <sheetViews>
    <sheetView showGridLines="0" workbookViewId="0" topLeftCell="A1">
      <selection activeCell="H19" sqref="H19"/>
    </sheetView>
  </sheetViews>
  <sheetFormatPr defaultColWidth="9.140625" defaultRowHeight="12.75"/>
  <cols>
    <col min="1" max="1" width="10.00390625" style="1" customWidth="1"/>
    <col min="2" max="2" width="8.28125" style="1" customWidth="1"/>
    <col min="3" max="3" width="3.7109375" style="1" customWidth="1"/>
    <col min="4" max="4" width="3.28125" style="1" customWidth="1"/>
    <col min="5" max="5" width="3.00390625" style="1" customWidth="1"/>
    <col min="6" max="7" width="3.57421875" style="1" customWidth="1"/>
    <col min="8" max="8" width="2.8515625" style="1" customWidth="1"/>
    <col min="9" max="9" width="15.28125" style="1" customWidth="1"/>
    <col min="10" max="11" width="5.140625" style="1" customWidth="1"/>
    <col min="12" max="13" width="3.8515625" style="1" customWidth="1"/>
    <col min="14" max="14" width="2.00390625" style="1" customWidth="1"/>
    <col min="15" max="15" width="3.00390625" style="1" customWidth="1"/>
    <col min="16" max="16" width="3.8515625" style="1" customWidth="1"/>
    <col min="17" max="17" width="9.140625" style="1" customWidth="1"/>
    <col min="18" max="18" width="6.421875" style="1" customWidth="1"/>
    <col min="19" max="19" width="5.00390625" style="2" customWidth="1"/>
    <col min="20" max="21" width="3.7109375" style="2" customWidth="1"/>
    <col min="22" max="22" width="3.7109375" style="1" customWidth="1"/>
    <col min="23" max="23" width="7.8515625" style="2" customWidth="1"/>
    <col min="24" max="24" width="9.140625" style="2" customWidth="1"/>
    <col min="25" max="25" width="12.7109375" style="2" customWidth="1"/>
    <col min="26" max="26" width="3.28125" style="1" customWidth="1"/>
    <col min="27" max="30" width="0" style="1" hidden="1" customWidth="1"/>
    <col min="31" max="31" width="7.00390625" style="1" customWidth="1"/>
    <col min="32" max="16384" width="9.140625" style="1" customWidth="1"/>
  </cols>
  <sheetData>
    <row r="1" spans="1:28" ht="12.75">
      <c r="A1" s="1" t="s">
        <v>0</v>
      </c>
      <c r="B1" s="3" t="s">
        <v>1</v>
      </c>
      <c r="C1" s="3"/>
      <c r="D1" s="3"/>
      <c r="E1" s="4"/>
      <c r="F1" s="4"/>
      <c r="I1" s="5" t="s">
        <v>2</v>
      </c>
      <c r="J1" s="5"/>
      <c r="K1" s="5" t="s">
        <v>3</v>
      </c>
      <c r="L1" s="6" t="s">
        <v>4</v>
      </c>
      <c r="M1" s="6"/>
      <c r="N1" s="7" t="s">
        <v>5</v>
      </c>
      <c r="O1" s="7"/>
      <c r="P1" s="7"/>
      <c r="Q1" s="7"/>
      <c r="R1" s="8" t="s">
        <v>6</v>
      </c>
      <c r="S1" s="8"/>
      <c r="W1" s="1"/>
      <c r="X1" s="9" t="s">
        <v>7</v>
      </c>
      <c r="Y1" s="10" t="s">
        <v>8</v>
      </c>
      <c r="Z1" s="11"/>
      <c r="AA1" s="1" t="s">
        <v>9</v>
      </c>
      <c r="AB1" s="11" t="s">
        <v>10</v>
      </c>
    </row>
    <row r="2" spans="1:28" ht="12.75">
      <c r="A2" s="1" t="s">
        <v>11</v>
      </c>
      <c r="B2" s="3" t="s">
        <v>12</v>
      </c>
      <c r="C2" s="3"/>
      <c r="D2" s="3"/>
      <c r="E2" s="4"/>
      <c r="F2" s="4"/>
      <c r="I2" s="12" t="s">
        <v>13</v>
      </c>
      <c r="J2" s="12"/>
      <c r="K2" s="13">
        <v>3</v>
      </c>
      <c r="L2" s="14">
        <f aca="true" t="shared" si="0" ref="L2:L10">IF(AA2&gt;0,(K2+AA2),K2)</f>
        <v>3</v>
      </c>
      <c r="M2" s="15">
        <f>IF(AA2=-1,5,IF(AA2=-2,4,6+AA2))+IF(ISERROR(MATCH("Exceptional Attribute (Body)",O33:O46,0)),0,1)</f>
        <v>6</v>
      </c>
      <c r="O2" s="16" t="e">
        <f>L2+Cyberware_Bioware!J$24+Magic!L$17</f>
        <v>#VALUE!</v>
      </c>
      <c r="P2" s="15">
        <f aca="true" t="shared" si="1" ref="P2:P9">ROUNDDOWN(M2*1.5,0)</f>
        <v>9</v>
      </c>
      <c r="Q2" s="17" t="e">
        <f>MIN(Cyberware_Bioware!K24,P2-O2)</f>
        <v>#VALUE!</v>
      </c>
      <c r="R2" s="18" t="s">
        <v>14</v>
      </c>
      <c r="S2" s="14">
        <f>SUM(AB2:AB9)</f>
        <v>170</v>
      </c>
      <c r="T2" s="1"/>
      <c r="X2" s="19" t="s">
        <v>15</v>
      </c>
      <c r="Y2" s="2" t="s">
        <v>16</v>
      </c>
      <c r="Z2" s="11"/>
      <c r="AA2" s="11">
        <f>IF($B$1="Troll",4,IF($B$1="Ork",3,IF($B$1="Dwarf",1,0)))</f>
        <v>0</v>
      </c>
      <c r="AB2" s="11">
        <f aca="true" t="shared" si="2" ref="AB2:AB11">IF(K2&gt;0,(K2-1)*10+IF(L2=M2,15),0)</f>
        <v>20</v>
      </c>
    </row>
    <row r="3" spans="1:28" ht="12.75">
      <c r="A3" s="1" t="s">
        <v>17</v>
      </c>
      <c r="B3" s="20">
        <v>55000</v>
      </c>
      <c r="C3" s="20"/>
      <c r="D3" s="21"/>
      <c r="E3" s="22"/>
      <c r="F3" s="22"/>
      <c r="I3" s="12" t="s">
        <v>18</v>
      </c>
      <c r="J3" s="12"/>
      <c r="K3" s="13">
        <v>2</v>
      </c>
      <c r="L3" s="14">
        <f t="shared" si="0"/>
        <v>3</v>
      </c>
      <c r="M3" s="15">
        <f>IF(AA3=-1,5,IF(AA3=-2,4,6+AA3))+IF(ISERROR(MATCH("Exceptional Attribute (Agility)",O33:O46,0)),0,1)</f>
        <v>7</v>
      </c>
      <c r="O3" s="16" t="e">
        <f>L3+Cyberware_Bioware!M$24+Magic!M$17</f>
        <v>#VALUE!</v>
      </c>
      <c r="P3" s="15">
        <f t="shared" si="1"/>
        <v>10</v>
      </c>
      <c r="Q3" s="23"/>
      <c r="R3" s="18" t="s">
        <v>9</v>
      </c>
      <c r="S3" s="24">
        <f>IF($B$1="Ork",20,IF($B$1="Troll",40,IF($B$1="Elf",30,IF($B$1="Dwarf",25,0))))</f>
        <v>30</v>
      </c>
      <c r="Z3" s="11"/>
      <c r="AA3" s="11">
        <f>IF($B$1="Troll",-1,IF($B$1="Elf",1,0))</f>
        <v>1</v>
      </c>
      <c r="AB3" s="11">
        <f t="shared" si="2"/>
        <v>10</v>
      </c>
    </row>
    <row r="4" spans="1:28" ht="12.75">
      <c r="A4" s="25" t="s">
        <v>19</v>
      </c>
      <c r="B4" s="26">
        <f>B3-Cyberware_Bioware!G27-IF(AND(B2&lt;&gt;"None",B2&lt;&gt;"Technomancer"),SUM(Magic!M22:N27),0)-Gear!A37</f>
        <v>10</v>
      </c>
      <c r="C4" s="26"/>
      <c r="D4" s="27"/>
      <c r="G4" s="11"/>
      <c r="I4" s="12" t="s">
        <v>20</v>
      </c>
      <c r="J4" s="12"/>
      <c r="K4" s="13">
        <v>3</v>
      </c>
      <c r="L4" s="14">
        <f t="shared" si="0"/>
        <v>3</v>
      </c>
      <c r="M4" s="15">
        <f>IF(AA4=-1,5,IF(AA4=-2,4,6+AA4))+IF(ISERROR(MATCH("Exceptional Attribute (Reaction)",O33:O46,0)),0,1)</f>
        <v>6</v>
      </c>
      <c r="O4" s="16" t="e">
        <f>L4+Cyberware_Bioware!N$24+Magic!N$17</f>
        <v>#VALUE!</v>
      </c>
      <c r="P4" s="15">
        <f t="shared" si="1"/>
        <v>9</v>
      </c>
      <c r="Q4" s="23"/>
      <c r="R4" s="18" t="s">
        <v>21</v>
      </c>
      <c r="S4" s="24">
        <f>IF(AB10=FALSE,0,AB10)</f>
        <v>20</v>
      </c>
      <c r="W4" s="28" t="s">
        <v>22</v>
      </c>
      <c r="Y4" s="11"/>
      <c r="Z4" s="23"/>
      <c r="AA4" s="11">
        <f>IF($B$1="Dwarf",-1,0)</f>
        <v>0</v>
      </c>
      <c r="AB4" s="11">
        <f t="shared" si="2"/>
        <v>20</v>
      </c>
    </row>
    <row r="5" spans="9:28" ht="12.75">
      <c r="I5" s="12" t="s">
        <v>23</v>
      </c>
      <c r="J5" s="12"/>
      <c r="K5" s="13">
        <v>2</v>
      </c>
      <c r="L5" s="14">
        <f t="shared" si="0"/>
        <v>2</v>
      </c>
      <c r="M5" s="15">
        <f>IF(AA5=-1,5,IF(AA5=-2,4,6+AA5))+IF(ISERROR(MATCH("Exceptional Attribute (Strength)",O33:O46,0)),0,1)</f>
        <v>6</v>
      </c>
      <c r="O5" s="16" t="e">
        <f>L5+Cyberware_Bioware!O$24+Magic!O$17</f>
        <v>#VALUE!</v>
      </c>
      <c r="P5" s="15">
        <f t="shared" si="1"/>
        <v>9</v>
      </c>
      <c r="Q5" s="23"/>
      <c r="R5" s="18" t="str">
        <f>IF(B2="None","Mundane",IF(B2="Technomancer","Resonance","Magic"))</f>
        <v>Magic</v>
      </c>
      <c r="S5" s="24">
        <f>IF(B2&lt;&gt;"None",AB11+IF(B2="Technomancer",SUM(Technomancer!D7:D13,Technomancer!D17:D30,Technomancer!H7:H12),COUNTA(Magic!A2:A19)*3+SUM(Magic!C22:C30))+SUM(Magic!I22:I27),0)</f>
        <v>40</v>
      </c>
      <c r="X5" s="29"/>
      <c r="Z5" s="23"/>
      <c r="AA5" s="11">
        <f>IF($B$1="Troll",4,IF($B$1="Ork",2,IF($B$1="Dwarf",2,0)))</f>
        <v>0</v>
      </c>
      <c r="AB5" s="11">
        <f t="shared" si="2"/>
        <v>10</v>
      </c>
    </row>
    <row r="6" spans="1:28" ht="12.75">
      <c r="A6" s="1" t="s">
        <v>24</v>
      </c>
      <c r="B6" s="30" t="s">
        <v>25</v>
      </c>
      <c r="C6" s="30"/>
      <c r="D6" s="30"/>
      <c r="E6" s="30"/>
      <c r="F6" s="30"/>
      <c r="G6" s="30"/>
      <c r="I6" s="12" t="s">
        <v>26</v>
      </c>
      <c r="J6" s="12"/>
      <c r="K6" s="13">
        <v>5</v>
      </c>
      <c r="L6" s="14">
        <f t="shared" si="0"/>
        <v>7</v>
      </c>
      <c r="M6" s="15">
        <f>IF(AA6=-1,5,IF(AA6=-2,4,6+AA6))+IF(ISERROR(MATCH("Exceptional Attribute (Charisma)",O33:O46,0)),0,1)</f>
        <v>8</v>
      </c>
      <c r="O6" s="16">
        <f>L6+Cyberware_Bioware!P$24</f>
        <v>7</v>
      </c>
      <c r="P6" s="15">
        <f t="shared" si="1"/>
        <v>12</v>
      </c>
      <c r="Q6" s="23"/>
      <c r="R6" s="18" t="s">
        <v>27</v>
      </c>
      <c r="S6" s="24">
        <f>SUM(AA18:AB46)</f>
        <v>100</v>
      </c>
      <c r="W6" s="31"/>
      <c r="X6" s="12" t="s">
        <v>28</v>
      </c>
      <c r="Z6" s="23"/>
      <c r="AA6" s="11">
        <f>IF($B$1="Troll",-2,IF($B$1="Ork",-1,IF($B$1="Elf",2,0)))</f>
        <v>2</v>
      </c>
      <c r="AB6" s="11">
        <f t="shared" si="2"/>
        <v>40</v>
      </c>
    </row>
    <row r="7" spans="1:28" ht="12.75">
      <c r="A7" s="1" t="s">
        <v>29</v>
      </c>
      <c r="B7" s="30" t="s">
        <v>30</v>
      </c>
      <c r="C7" s="30"/>
      <c r="D7" s="30"/>
      <c r="E7" s="30"/>
      <c r="F7" s="30"/>
      <c r="G7" s="30"/>
      <c r="I7" s="12" t="s">
        <v>31</v>
      </c>
      <c r="J7" s="12"/>
      <c r="K7" s="13">
        <v>5</v>
      </c>
      <c r="L7" s="14">
        <f t="shared" si="0"/>
        <v>5</v>
      </c>
      <c r="M7" s="15">
        <f>IF(AA7=-1,5,IF(AA7=-2,4,6+AA7))+IF(ISERROR(MATCH("Exceptional Attribute (Intuition)",O33:O46,0)),0,1)</f>
        <v>6</v>
      </c>
      <c r="O7" s="16">
        <f>L7+Cyberware_Bioware!Q$24</f>
        <v>5</v>
      </c>
      <c r="P7" s="15">
        <f t="shared" si="1"/>
        <v>9</v>
      </c>
      <c r="Q7" s="23"/>
      <c r="R7" s="18" t="s">
        <v>32</v>
      </c>
      <c r="S7" s="1">
        <f>SUM(L18:L36)+SUM(L39:L46)</f>
        <v>36</v>
      </c>
      <c r="T7" s="15">
        <f>-(L7+L8)*3</f>
        <v>-24</v>
      </c>
      <c r="U7" s="15"/>
      <c r="W7" s="11"/>
      <c r="X7" s="11"/>
      <c r="Z7" s="23"/>
      <c r="AA7" s="11">
        <f>IF($B$1="Troll",-1,0)</f>
        <v>0</v>
      </c>
      <c r="AB7" s="11">
        <f t="shared" si="2"/>
        <v>40</v>
      </c>
    </row>
    <row r="8" spans="1:28" ht="12.75">
      <c r="A8" s="1" t="s">
        <v>33</v>
      </c>
      <c r="B8" s="32" t="s">
        <v>34</v>
      </c>
      <c r="C8" s="32"/>
      <c r="D8" s="32"/>
      <c r="E8" s="32"/>
      <c r="F8" s="32"/>
      <c r="G8" s="32"/>
      <c r="I8" s="12" t="s">
        <v>35</v>
      </c>
      <c r="J8" s="12"/>
      <c r="K8" s="13">
        <v>3</v>
      </c>
      <c r="L8" s="14">
        <f t="shared" si="0"/>
        <v>3</v>
      </c>
      <c r="M8" s="15">
        <f>IF(AA8=-1,5,IF(AA8=-2,4,6+AA8))+IF(ISERROR(MATCH("Exceptional Attribute (Logic)",O33:O46,0)),0,1)</f>
        <v>6</v>
      </c>
      <c r="O8" s="16">
        <f>L8+Cyberware_Bioware!R$24</f>
        <v>3</v>
      </c>
      <c r="P8" s="15">
        <f t="shared" si="1"/>
        <v>9</v>
      </c>
      <c r="Q8" s="23"/>
      <c r="R8" s="18" t="s">
        <v>36</v>
      </c>
      <c r="S8" s="14">
        <f>IF(B2="None",0,IF(B2="Adept",5,IF(B2="Mystic Adept",10,IF(B2="Magician",15,IF(B2="Technomancer",5)))))+SUM(AC33:AC46)</f>
        <v>10</v>
      </c>
      <c r="W8" s="33"/>
      <c r="X8" s="12" t="s">
        <v>37</v>
      </c>
      <c r="Y8" s="34"/>
      <c r="Z8" s="23"/>
      <c r="AA8" s="11">
        <f>IF($B$1="Troll",-1,IF($B$1="Ork",-1,0))</f>
        <v>0</v>
      </c>
      <c r="AB8" s="11">
        <f t="shared" si="2"/>
        <v>20</v>
      </c>
    </row>
    <row r="9" spans="2:28" ht="12.75">
      <c r="B9" s="32"/>
      <c r="C9" s="32"/>
      <c r="D9" s="32"/>
      <c r="E9" s="32"/>
      <c r="F9" s="32"/>
      <c r="G9" s="32"/>
      <c r="I9" s="12" t="s">
        <v>38</v>
      </c>
      <c r="J9" s="12"/>
      <c r="K9" s="13">
        <v>2</v>
      </c>
      <c r="L9" s="14">
        <f t="shared" si="0"/>
        <v>2</v>
      </c>
      <c r="M9" s="15">
        <f>IF(AA9=-1,5,IF(AA9=-2,4,6+AA9))+IF(ISERROR(MATCH("Exceptional Attribute (Willpower)",O33:O46,0)),0,1)</f>
        <v>6</v>
      </c>
      <c r="O9" s="16">
        <f>L9+Cyberware_Bioware!S$24</f>
        <v>2</v>
      </c>
      <c r="P9" s="15">
        <f t="shared" si="1"/>
        <v>9</v>
      </c>
      <c r="Q9" s="23"/>
      <c r="R9" s="18" t="s">
        <v>39</v>
      </c>
      <c r="S9" s="14">
        <f>SUM(AD33:AD46)</f>
        <v>-35</v>
      </c>
      <c r="Z9" s="23"/>
      <c r="AA9" s="11">
        <f>IF($B$1="Dwarf",1,0)</f>
        <v>0</v>
      </c>
      <c r="AB9" s="11">
        <f t="shared" si="2"/>
        <v>10</v>
      </c>
    </row>
    <row r="10" spans="1:28" ht="12.75">
      <c r="A10" s="1" t="s">
        <v>40</v>
      </c>
      <c r="B10" s="32" t="s">
        <v>41</v>
      </c>
      <c r="C10" s="32"/>
      <c r="D10" s="32"/>
      <c r="E10" s="32"/>
      <c r="F10" s="32"/>
      <c r="G10" s="32"/>
      <c r="I10" s="12" t="s">
        <v>21</v>
      </c>
      <c r="J10" s="12"/>
      <c r="K10" s="13">
        <v>3</v>
      </c>
      <c r="L10" s="14">
        <f t="shared" si="0"/>
        <v>3</v>
      </c>
      <c r="M10" s="15">
        <f>IF(AA10=-1,5,IF(AA10=-2,4,6+AA10))+IF(ISERROR(MATCH("Lucky",O33:O46,0)),0,1)</f>
        <v>6</v>
      </c>
      <c r="O10" s="16">
        <f>L10</f>
        <v>3</v>
      </c>
      <c r="P10" s="15">
        <f>M10</f>
        <v>6</v>
      </c>
      <c r="Q10" s="23"/>
      <c r="R10" s="18" t="s">
        <v>42</v>
      </c>
      <c r="S10" s="24">
        <f>B3/5000</f>
        <v>11</v>
      </c>
      <c r="W10" s="35"/>
      <c r="X10" s="12" t="s">
        <v>43</v>
      </c>
      <c r="Z10" s="23"/>
      <c r="AA10" s="11">
        <f>IF($B$1="Human",1,0)</f>
        <v>0</v>
      </c>
      <c r="AB10" s="11">
        <f t="shared" si="2"/>
        <v>20</v>
      </c>
    </row>
    <row r="11" spans="2:28" ht="12.75">
      <c r="B11" s="32"/>
      <c r="C11" s="32"/>
      <c r="D11" s="32"/>
      <c r="E11" s="32"/>
      <c r="F11" s="32"/>
      <c r="G11" s="32"/>
      <c r="I11" s="12" t="str">
        <f>IF(B2="Adept","Magic",IF(B2="Mystic Adept","Magic",IF(B2="Magician","Magic",IF(B2="Technomancer","Resonance",""))))</f>
        <v>Magic</v>
      </c>
      <c r="J11" s="12"/>
      <c r="K11" s="13">
        <v>5</v>
      </c>
      <c r="L11" s="14">
        <f>IF(B2&lt;&gt;"None",IF(AA11&gt;0,(K11+AA11),K11),0)</f>
        <v>5</v>
      </c>
      <c r="M11" s="15">
        <f>IF(B2="None",0,IF(AA11=-1,5,IF(AA11=-2,4,6+AA11)))</f>
        <v>6</v>
      </c>
      <c r="O11" s="36">
        <f>IF(L11&gt;0,L11-ROUNDUP(M15-K15,0),0)</f>
        <v>5</v>
      </c>
      <c r="P11" s="15">
        <f>IF(B2="None",0,6)</f>
        <v>6</v>
      </c>
      <c r="Q11" s="37" t="str">
        <f>"Contacts"&amp;IF(Free_Contacts_House_Rule,"(House Rule)","")&amp;IF(Clout_House_Rule,"/Clout","")</f>
        <v>Contacts</v>
      </c>
      <c r="R11" s="37"/>
      <c r="S11" s="1">
        <f>IF(Clout_House_Rule,SUM(T18:T31)*3+5*(K12*K12+K12)/2,SUM(T18:U31))</f>
        <v>35</v>
      </c>
      <c r="T11" s="15">
        <f>IF(Free_Contacts_House_Rule,-(L6)*2,"")</f>
      </c>
      <c r="U11" s="15"/>
      <c r="Z11" s="23"/>
      <c r="AA11" s="11">
        <v>0</v>
      </c>
      <c r="AB11" s="11">
        <f t="shared" si="2"/>
        <v>40</v>
      </c>
    </row>
    <row r="12" spans="2:28" ht="12.75">
      <c r="B12" s="32"/>
      <c r="C12" s="32"/>
      <c r="D12" s="32"/>
      <c r="E12" s="32"/>
      <c r="F12" s="32"/>
      <c r="G12" s="32"/>
      <c r="I12" s="12">
        <f>IF(Clout_House_Rule,"Clout","")</f>
      </c>
      <c r="J12" s="12"/>
      <c r="K12" s="38"/>
      <c r="L12" s="14"/>
      <c r="M12" s="15"/>
      <c r="O12" s="36"/>
      <c r="P12" s="15"/>
      <c r="Q12"/>
      <c r="R12" s="39" t="s">
        <v>44</v>
      </c>
      <c r="S12" s="40">
        <f>SUM(S2:S6)+SUM(S8:S10)+IF((S7+T7)&gt;0,2*(S7+T7),0)+IF(Free_Contacts_House_Rule,IF((S11+T11)&gt;0,S11+T11,0),S11)</f>
        <v>405</v>
      </c>
      <c r="T12" s="41">
        <v>400</v>
      </c>
      <c r="U12" s="41"/>
      <c r="Z12" s="23"/>
      <c r="AA12" s="11"/>
      <c r="AB12" s="11"/>
    </row>
    <row r="13" spans="2:29" ht="12.75">
      <c r="B13" s="32"/>
      <c r="C13" s="32"/>
      <c r="D13" s="32"/>
      <c r="E13" s="32"/>
      <c r="F13" s="32"/>
      <c r="G13" s="32"/>
      <c r="I13" s="42" t="s">
        <v>45</v>
      </c>
      <c r="J13" s="42"/>
      <c r="K13" s="43"/>
      <c r="L13" s="16">
        <f>L4+L7</f>
        <v>8</v>
      </c>
      <c r="M13" s="15">
        <f>M4+M7</f>
        <v>12</v>
      </c>
      <c r="O13" s="16" t="e">
        <f>O4+O7</f>
        <v>#VALUE!</v>
      </c>
      <c r="P13" s="15">
        <f>P4+P7</f>
        <v>18</v>
      </c>
      <c r="Q13" s="23"/>
      <c r="S13" s="1"/>
      <c r="T13" s="1"/>
      <c r="U13" s="44" t="str">
        <f>IF(Clout_House_Rule,"","Connection")</f>
        <v>Connection</v>
      </c>
      <c r="W13" s="28" t="s">
        <v>46</v>
      </c>
      <c r="AC13" s="1" t="s">
        <v>46</v>
      </c>
    </row>
    <row r="14" spans="2:30" ht="12.75" customHeight="1">
      <c r="B14" s="32"/>
      <c r="C14" s="32"/>
      <c r="D14" s="32"/>
      <c r="E14" s="32"/>
      <c r="F14" s="32"/>
      <c r="G14" s="32"/>
      <c r="I14" s="42" t="s">
        <v>47</v>
      </c>
      <c r="J14" s="42"/>
      <c r="K14" s="43"/>
      <c r="L14" s="1">
        <v>1</v>
      </c>
      <c r="M14" s="15">
        <v>4</v>
      </c>
      <c r="O14" s="16" t="e">
        <f>L14+MAX(Cyberware_Bioware!T24,Magic!P17)</f>
        <v>#VALUE!</v>
      </c>
      <c r="P14" s="15">
        <f>M14</f>
        <v>4</v>
      </c>
      <c r="Q14" s="23"/>
      <c r="U14" s="44"/>
      <c r="AC14" s="45" t="b">
        <f>FALSE</f>
        <v>0</v>
      </c>
      <c r="AD14" s="1" t="s">
        <v>48</v>
      </c>
    </row>
    <row r="15" spans="2:30" ht="12.75" customHeight="1">
      <c r="B15" s="32"/>
      <c r="C15" s="32"/>
      <c r="D15" s="32"/>
      <c r="E15" s="32"/>
      <c r="F15" s="32"/>
      <c r="G15" s="32"/>
      <c r="I15" s="12" t="s">
        <v>49</v>
      </c>
      <c r="J15" s="12"/>
      <c r="K15" s="46">
        <f>6-SUM(Cyberware_Bioware!E27:F27)</f>
        <v>6</v>
      </c>
      <c r="L15" s="46"/>
      <c r="M15" s="15">
        <v>6</v>
      </c>
      <c r="O15" s="23"/>
      <c r="P15" s="23"/>
      <c r="Q15" s="23"/>
      <c r="T15" s="47" t="str">
        <f>IF(Clout_House_Rule,"Clout","Loyalty")</f>
        <v>Loyalty</v>
      </c>
      <c r="U15" s="44"/>
      <c r="AC15" s="45" t="b">
        <f>FALSE</f>
        <v>0</v>
      </c>
      <c r="AD15" s="1" t="s">
        <v>50</v>
      </c>
    </row>
    <row r="16" spans="6:21" ht="12.75" customHeight="1">
      <c r="F16" s="48" t="s">
        <v>51</v>
      </c>
      <c r="T16" s="47"/>
      <c r="U16" s="44"/>
    </row>
    <row r="17" spans="1:28" s="1" customFormat="1" ht="12.75">
      <c r="A17" s="5" t="s">
        <v>27</v>
      </c>
      <c r="D17" s="49" t="s">
        <v>4</v>
      </c>
      <c r="E17" s="49"/>
      <c r="F17" s="48"/>
      <c r="H17" s="5" t="s">
        <v>52</v>
      </c>
      <c r="I17" s="5"/>
      <c r="J17" s="5"/>
      <c r="K17" s="5"/>
      <c r="L17" s="49" t="s">
        <v>4</v>
      </c>
      <c r="M17" s="49"/>
      <c r="O17" s="5" t="s">
        <v>53</v>
      </c>
      <c r="P17" s="5"/>
      <c r="Q17" s="5"/>
      <c r="R17" s="5"/>
      <c r="S17" s="5"/>
      <c r="T17" s="47"/>
      <c r="U17" s="44"/>
      <c r="W17" s="2"/>
      <c r="AA17" s="1" t="s">
        <v>54</v>
      </c>
      <c r="AB17" s="1" t="s">
        <v>55</v>
      </c>
    </row>
    <row r="18" spans="1:28" s="1" customFormat="1" ht="12.75">
      <c r="A18" s="50" t="s">
        <v>56</v>
      </c>
      <c r="B18" s="50"/>
      <c r="C18" s="50"/>
      <c r="D18" s="51">
        <v>4</v>
      </c>
      <c r="E18" s="52">
        <f aca="true" t="shared" si="3" ref="E18:E46">IF(A18="","",IF(ISERROR(FIND("(Group)",$A18)),6,4))</f>
        <v>4</v>
      </c>
      <c r="F18" s="13"/>
      <c r="H18" s="50" t="s">
        <v>57</v>
      </c>
      <c r="I18" s="50"/>
      <c r="J18" s="50"/>
      <c r="K18" s="50"/>
      <c r="L18" s="51">
        <v>4</v>
      </c>
      <c r="M18" s="52">
        <f aca="true" t="shared" si="4" ref="M18:M36">IF(H18="","",6)</f>
        <v>6</v>
      </c>
      <c r="O18" s="30" t="s">
        <v>58</v>
      </c>
      <c r="P18" s="30"/>
      <c r="Q18" s="30"/>
      <c r="R18" s="30"/>
      <c r="S18" s="30"/>
      <c r="T18" s="53">
        <v>2</v>
      </c>
      <c r="U18" s="53">
        <v>3</v>
      </c>
      <c r="W18" s="2"/>
      <c r="AA18" s="1">
        <f aca="true" t="shared" si="5" ref="AA18:AA46">IF($A18&lt;&gt;"",IF(ISERROR(FIND("(Group)",$A18)),D18*4+IF(D18&gt;6,4,0),D18*10),0)</f>
        <v>40</v>
      </c>
      <c r="AB18" s="54">
        <f aca="true" t="shared" si="6" ref="AB18:AB46">IF(F18&lt;&gt;"",2,0)</f>
        <v>0</v>
      </c>
    </row>
    <row r="19" spans="1:28" s="1" customFormat="1" ht="12.75">
      <c r="A19" s="50" t="s">
        <v>59</v>
      </c>
      <c r="B19" s="50"/>
      <c r="C19" s="50"/>
      <c r="D19" s="51">
        <v>4</v>
      </c>
      <c r="E19" s="52">
        <f t="shared" si="3"/>
        <v>6</v>
      </c>
      <c r="F19" s="13"/>
      <c r="H19" s="50" t="s">
        <v>60</v>
      </c>
      <c r="I19" s="50"/>
      <c r="J19" s="50"/>
      <c r="K19" s="50"/>
      <c r="L19" s="51">
        <v>3</v>
      </c>
      <c r="M19" s="52">
        <f t="shared" si="4"/>
        <v>6</v>
      </c>
      <c r="O19" s="30" t="s">
        <v>61</v>
      </c>
      <c r="P19" s="30"/>
      <c r="Q19" s="30"/>
      <c r="R19" s="30"/>
      <c r="S19" s="30"/>
      <c r="T19" s="53">
        <v>4</v>
      </c>
      <c r="U19" s="53">
        <v>4</v>
      </c>
      <c r="W19" s="2"/>
      <c r="AA19" s="1">
        <f t="shared" si="5"/>
        <v>16</v>
      </c>
      <c r="AB19" s="54">
        <f t="shared" si="6"/>
        <v>0</v>
      </c>
    </row>
    <row r="20" spans="1:28" s="1" customFormat="1" ht="12.75">
      <c r="A20" s="50"/>
      <c r="B20" s="50"/>
      <c r="C20" s="50"/>
      <c r="D20" s="51"/>
      <c r="E20" s="52">
        <f t="shared" si="3"/>
      </c>
      <c r="F20" s="13"/>
      <c r="H20" s="50" t="s">
        <v>62</v>
      </c>
      <c r="I20" s="50"/>
      <c r="J20" s="50"/>
      <c r="K20" s="50"/>
      <c r="L20" s="51">
        <v>3</v>
      </c>
      <c r="M20" s="52">
        <f t="shared" si="4"/>
        <v>6</v>
      </c>
      <c r="O20" s="30" t="s">
        <v>63</v>
      </c>
      <c r="P20" s="30"/>
      <c r="Q20" s="30"/>
      <c r="R20" s="30"/>
      <c r="S20" s="30"/>
      <c r="T20" s="53">
        <v>5</v>
      </c>
      <c r="U20" s="53">
        <v>5</v>
      </c>
      <c r="W20" s="2"/>
      <c r="AA20" s="1">
        <f t="shared" si="5"/>
        <v>0</v>
      </c>
      <c r="AB20" s="54">
        <f t="shared" si="6"/>
        <v>0</v>
      </c>
    </row>
    <row r="21" spans="1:28" ht="12.75">
      <c r="A21" s="50" t="s">
        <v>64</v>
      </c>
      <c r="B21" s="50"/>
      <c r="C21" s="50"/>
      <c r="D21" s="51">
        <v>3</v>
      </c>
      <c r="E21" s="52">
        <f t="shared" si="3"/>
        <v>6</v>
      </c>
      <c r="F21" s="13"/>
      <c r="H21" s="50"/>
      <c r="I21" s="50"/>
      <c r="J21" s="50"/>
      <c r="K21" s="50"/>
      <c r="L21" s="51"/>
      <c r="M21" s="52">
        <f t="shared" si="4"/>
      </c>
      <c r="O21" s="30" t="s">
        <v>65</v>
      </c>
      <c r="P21" s="30"/>
      <c r="Q21" s="30"/>
      <c r="R21" s="30"/>
      <c r="S21" s="30"/>
      <c r="T21" s="53">
        <v>2</v>
      </c>
      <c r="U21" s="53">
        <v>3</v>
      </c>
      <c r="W21" s="55" t="s">
        <v>66</v>
      </c>
      <c r="AA21" s="1">
        <f t="shared" si="5"/>
        <v>12</v>
      </c>
      <c r="AB21" s="54">
        <f t="shared" si="6"/>
        <v>0</v>
      </c>
    </row>
    <row r="22" spans="1:28" s="1" customFormat="1" ht="12.75">
      <c r="A22" s="50" t="s">
        <v>67</v>
      </c>
      <c r="B22" s="50"/>
      <c r="C22" s="50"/>
      <c r="D22" s="51">
        <v>2</v>
      </c>
      <c r="E22" s="52">
        <f t="shared" si="3"/>
        <v>6</v>
      </c>
      <c r="F22" s="13"/>
      <c r="H22" s="50"/>
      <c r="I22" s="50"/>
      <c r="J22" s="50"/>
      <c r="K22" s="50"/>
      <c r="L22" s="51"/>
      <c r="M22" s="52">
        <f t="shared" si="4"/>
      </c>
      <c r="O22" s="30" t="s">
        <v>68</v>
      </c>
      <c r="P22" s="30"/>
      <c r="Q22" s="30"/>
      <c r="R22" s="30"/>
      <c r="S22" s="30"/>
      <c r="T22" s="53">
        <v>3</v>
      </c>
      <c r="U22" s="53">
        <v>4</v>
      </c>
      <c r="W22" s="2" t="s">
        <v>69</v>
      </c>
      <c r="AA22" s="1">
        <f t="shared" si="5"/>
        <v>8</v>
      </c>
      <c r="AB22" s="54">
        <f t="shared" si="6"/>
        <v>0</v>
      </c>
    </row>
    <row r="23" spans="1:28" s="1" customFormat="1" ht="12.75">
      <c r="A23" s="50" t="s">
        <v>70</v>
      </c>
      <c r="B23" s="50"/>
      <c r="C23" s="50"/>
      <c r="D23" s="51">
        <v>3</v>
      </c>
      <c r="E23" s="52">
        <f t="shared" si="3"/>
        <v>6</v>
      </c>
      <c r="F23" s="13"/>
      <c r="H23" s="50"/>
      <c r="I23" s="50"/>
      <c r="J23" s="50"/>
      <c r="K23" s="50"/>
      <c r="L23" s="51"/>
      <c r="M23" s="52">
        <f t="shared" si="4"/>
      </c>
      <c r="O23" s="30"/>
      <c r="P23" s="30"/>
      <c r="Q23" s="30"/>
      <c r="R23" s="30"/>
      <c r="S23" s="30"/>
      <c r="T23" s="53"/>
      <c r="U23" s="53"/>
      <c r="W23" s="2" t="s">
        <v>71</v>
      </c>
      <c r="AA23" s="1">
        <f t="shared" si="5"/>
        <v>12</v>
      </c>
      <c r="AB23" s="54">
        <f t="shared" si="6"/>
        <v>0</v>
      </c>
    </row>
    <row r="24" spans="1:28" s="1" customFormat="1" ht="12.75">
      <c r="A24" s="50" t="s">
        <v>72</v>
      </c>
      <c r="B24" s="50"/>
      <c r="C24" s="50"/>
      <c r="D24" s="51">
        <v>1</v>
      </c>
      <c r="E24" s="52">
        <f t="shared" si="3"/>
        <v>6</v>
      </c>
      <c r="F24" s="13"/>
      <c r="H24" s="50" t="s">
        <v>73</v>
      </c>
      <c r="I24" s="50"/>
      <c r="J24" s="50"/>
      <c r="K24" s="50"/>
      <c r="L24" s="51">
        <v>2</v>
      </c>
      <c r="M24" s="52">
        <f t="shared" si="4"/>
        <v>6</v>
      </c>
      <c r="O24" s="30"/>
      <c r="P24" s="30"/>
      <c r="Q24" s="30"/>
      <c r="R24" s="30"/>
      <c r="S24" s="30"/>
      <c r="T24" s="53"/>
      <c r="U24" s="53"/>
      <c r="W24" s="2" t="s">
        <v>74</v>
      </c>
      <c r="AA24" s="1">
        <f t="shared" si="5"/>
        <v>4</v>
      </c>
      <c r="AB24" s="54">
        <f t="shared" si="6"/>
        <v>0</v>
      </c>
    </row>
    <row r="25" spans="1:28" s="1" customFormat="1" ht="12.75">
      <c r="A25" s="50" t="s">
        <v>75</v>
      </c>
      <c r="B25" s="50"/>
      <c r="C25" s="50"/>
      <c r="D25" s="51">
        <v>2</v>
      </c>
      <c r="E25" s="52">
        <f t="shared" si="3"/>
        <v>6</v>
      </c>
      <c r="F25" s="13"/>
      <c r="H25" s="50" t="s">
        <v>76</v>
      </c>
      <c r="I25" s="50"/>
      <c r="J25" s="50"/>
      <c r="K25" s="50"/>
      <c r="L25" s="51">
        <v>2</v>
      </c>
      <c r="M25" s="52">
        <f t="shared" si="4"/>
        <v>6</v>
      </c>
      <c r="O25" s="30"/>
      <c r="P25" s="30"/>
      <c r="Q25" s="30"/>
      <c r="R25" s="30"/>
      <c r="S25" s="30"/>
      <c r="T25" s="53"/>
      <c r="U25" s="53"/>
      <c r="W25" s="2" t="s">
        <v>77</v>
      </c>
      <c r="AA25" s="1">
        <f t="shared" si="5"/>
        <v>8</v>
      </c>
      <c r="AB25" s="54">
        <f t="shared" si="6"/>
        <v>0</v>
      </c>
    </row>
    <row r="26" spans="1:28" ht="12.75">
      <c r="A26" s="50"/>
      <c r="B26" s="50"/>
      <c r="C26" s="50"/>
      <c r="D26" s="51"/>
      <c r="E26" s="52">
        <f t="shared" si="3"/>
      </c>
      <c r="F26" s="13"/>
      <c r="H26" s="50" t="s">
        <v>78</v>
      </c>
      <c r="I26" s="50"/>
      <c r="J26" s="50"/>
      <c r="K26" s="50"/>
      <c r="L26" s="51">
        <v>2</v>
      </c>
      <c r="M26" s="52">
        <f t="shared" si="4"/>
        <v>6</v>
      </c>
      <c r="O26" s="30"/>
      <c r="P26" s="30"/>
      <c r="Q26" s="30"/>
      <c r="R26" s="30"/>
      <c r="S26" s="30"/>
      <c r="T26" s="53"/>
      <c r="U26" s="53"/>
      <c r="Y26" s="1"/>
      <c r="AA26" s="1">
        <f t="shared" si="5"/>
        <v>0</v>
      </c>
      <c r="AB26" s="54">
        <f t="shared" si="6"/>
        <v>0</v>
      </c>
    </row>
    <row r="27" spans="1:28" ht="12.75">
      <c r="A27" s="50"/>
      <c r="B27" s="50"/>
      <c r="C27" s="50"/>
      <c r="D27" s="51"/>
      <c r="E27" s="52">
        <f t="shared" si="3"/>
      </c>
      <c r="F27" s="13"/>
      <c r="H27" s="50" t="s">
        <v>79</v>
      </c>
      <c r="I27" s="50"/>
      <c r="J27" s="50"/>
      <c r="K27" s="50"/>
      <c r="L27" s="51">
        <v>2</v>
      </c>
      <c r="M27" s="52">
        <f t="shared" si="4"/>
        <v>6</v>
      </c>
      <c r="O27" s="30"/>
      <c r="P27" s="30"/>
      <c r="Q27" s="30"/>
      <c r="R27" s="30"/>
      <c r="S27" s="30"/>
      <c r="T27" s="53"/>
      <c r="U27" s="53"/>
      <c r="Y27" s="1"/>
      <c r="AA27" s="1">
        <f t="shared" si="5"/>
        <v>0</v>
      </c>
      <c r="AB27" s="54">
        <f t="shared" si="6"/>
        <v>0</v>
      </c>
    </row>
    <row r="28" spans="1:28" ht="12.75">
      <c r="A28" s="50"/>
      <c r="B28" s="50"/>
      <c r="C28" s="50"/>
      <c r="D28" s="51"/>
      <c r="E28" s="52">
        <f t="shared" si="3"/>
      </c>
      <c r="F28" s="13"/>
      <c r="H28" s="50" t="s">
        <v>80</v>
      </c>
      <c r="I28" s="50"/>
      <c r="J28" s="50"/>
      <c r="K28" s="50"/>
      <c r="L28" s="51">
        <v>1</v>
      </c>
      <c r="M28" s="52">
        <f t="shared" si="4"/>
        <v>6</v>
      </c>
      <c r="O28" s="30"/>
      <c r="P28" s="30"/>
      <c r="Q28" s="30"/>
      <c r="R28" s="30"/>
      <c r="S28" s="30"/>
      <c r="T28" s="53"/>
      <c r="U28" s="53"/>
      <c r="Y28" s="1"/>
      <c r="AA28" s="1">
        <f t="shared" si="5"/>
        <v>0</v>
      </c>
      <c r="AB28" s="54">
        <f t="shared" si="6"/>
        <v>0</v>
      </c>
    </row>
    <row r="29" spans="1:28" ht="12.75">
      <c r="A29" s="50"/>
      <c r="B29" s="50"/>
      <c r="C29" s="50"/>
      <c r="D29" s="51"/>
      <c r="E29" s="52">
        <f t="shared" si="3"/>
      </c>
      <c r="F29" s="13"/>
      <c r="H29" s="50" t="s">
        <v>81</v>
      </c>
      <c r="I29" s="50"/>
      <c r="J29" s="50"/>
      <c r="K29" s="50"/>
      <c r="L29" s="51">
        <v>3</v>
      </c>
      <c r="M29" s="52">
        <f t="shared" si="4"/>
        <v>6</v>
      </c>
      <c r="O29" s="30"/>
      <c r="P29" s="30"/>
      <c r="Q29" s="30"/>
      <c r="R29" s="30"/>
      <c r="S29" s="30"/>
      <c r="T29" s="53"/>
      <c r="U29" s="53"/>
      <c r="Y29" s="1"/>
      <c r="AA29" s="1">
        <f t="shared" si="5"/>
        <v>0</v>
      </c>
      <c r="AB29" s="54">
        <f t="shared" si="6"/>
        <v>0</v>
      </c>
    </row>
    <row r="30" spans="1:28" ht="12.75">
      <c r="A30" s="50"/>
      <c r="B30" s="50"/>
      <c r="C30" s="50"/>
      <c r="D30" s="51"/>
      <c r="E30" s="52">
        <f t="shared" si="3"/>
      </c>
      <c r="F30" s="13"/>
      <c r="H30" s="50" t="s">
        <v>82</v>
      </c>
      <c r="I30" s="50"/>
      <c r="J30" s="50"/>
      <c r="K30" s="50"/>
      <c r="L30" s="51">
        <v>2</v>
      </c>
      <c r="M30" s="52">
        <f t="shared" si="4"/>
        <v>6</v>
      </c>
      <c r="O30" s="30"/>
      <c r="P30" s="30"/>
      <c r="Q30" s="30"/>
      <c r="R30" s="30"/>
      <c r="S30" s="30"/>
      <c r="T30" s="53"/>
      <c r="U30" s="53"/>
      <c r="Y30" s="1"/>
      <c r="AA30" s="1">
        <f t="shared" si="5"/>
        <v>0</v>
      </c>
      <c r="AB30" s="54">
        <f t="shared" si="6"/>
        <v>0</v>
      </c>
    </row>
    <row r="31" spans="1:28" s="1" customFormat="1" ht="12.75">
      <c r="A31" s="50"/>
      <c r="B31" s="50"/>
      <c r="C31" s="50"/>
      <c r="D31" s="51"/>
      <c r="E31" s="52">
        <f t="shared" si="3"/>
      </c>
      <c r="F31" s="13"/>
      <c r="H31" s="50" t="s">
        <v>83</v>
      </c>
      <c r="I31" s="50"/>
      <c r="J31" s="50"/>
      <c r="K31" s="50"/>
      <c r="L31" s="51">
        <v>2</v>
      </c>
      <c r="M31" s="52">
        <f t="shared" si="4"/>
        <v>6</v>
      </c>
      <c r="O31" s="30"/>
      <c r="P31" s="30"/>
      <c r="Q31" s="30"/>
      <c r="R31" s="30"/>
      <c r="S31" s="30"/>
      <c r="T31" s="53"/>
      <c r="U31" s="53"/>
      <c r="W31" s="2"/>
      <c r="AA31" s="1">
        <f t="shared" si="5"/>
        <v>0</v>
      </c>
      <c r="AB31" s="54">
        <f t="shared" si="6"/>
        <v>0</v>
      </c>
    </row>
    <row r="32" spans="1:30" ht="12.75">
      <c r="A32" s="50"/>
      <c r="B32" s="50"/>
      <c r="C32" s="50"/>
      <c r="D32" s="51"/>
      <c r="E32" s="52">
        <f t="shared" si="3"/>
      </c>
      <c r="F32" s="13"/>
      <c r="H32" s="50"/>
      <c r="I32" s="50"/>
      <c r="J32" s="50"/>
      <c r="K32" s="50"/>
      <c r="L32" s="51"/>
      <c r="M32" s="52">
        <f t="shared" si="4"/>
      </c>
      <c r="O32" s="7" t="s">
        <v>84</v>
      </c>
      <c r="P32" s="7"/>
      <c r="Q32" s="7"/>
      <c r="R32" s="7"/>
      <c r="S32" s="7"/>
      <c r="T32" s="1"/>
      <c r="AA32" s="1">
        <f t="shared" si="5"/>
        <v>0</v>
      </c>
      <c r="AB32" s="54">
        <f t="shared" si="6"/>
        <v>0</v>
      </c>
      <c r="AC32" s="1" t="s">
        <v>85</v>
      </c>
      <c r="AD32" s="1" t="s">
        <v>86</v>
      </c>
    </row>
    <row r="33" spans="1:30" ht="12.75">
      <c r="A33" s="50"/>
      <c r="B33" s="50"/>
      <c r="C33" s="50"/>
      <c r="D33" s="51"/>
      <c r="E33" s="52">
        <f t="shared" si="3"/>
      </c>
      <c r="F33" s="13"/>
      <c r="H33" s="50"/>
      <c r="I33" s="50"/>
      <c r="J33" s="50"/>
      <c r="K33" s="50"/>
      <c r="L33" s="51"/>
      <c r="M33" s="52">
        <f t="shared" si="4"/>
      </c>
      <c r="O33" s="56" t="s">
        <v>87</v>
      </c>
      <c r="P33" s="56"/>
      <c r="Q33" s="56"/>
      <c r="R33" s="56"/>
      <c r="S33" s="56"/>
      <c r="T33" s="56"/>
      <c r="U33" s="57" t="str">
        <f>IF($O33="","",VLOOKUP($O33,Complete_Qualities_Table,2,FALSE))</f>
        <v> </v>
      </c>
      <c r="AA33" s="1">
        <f t="shared" si="5"/>
        <v>0</v>
      </c>
      <c r="AB33" s="54">
        <f t="shared" si="6"/>
        <v>0</v>
      </c>
      <c r="AC33" s="1" t="str">
        <f aca="true" t="shared" si="7" ref="AC33:AC46">IF(U33&gt;0,U33,0)</f>
        <v> </v>
      </c>
      <c r="AD33" s="11">
        <f aca="true" t="shared" si="8" ref="AD33:AD46">IF(U33&lt;0,U33,0)</f>
        <v>0</v>
      </c>
    </row>
    <row r="34" spans="1:30" ht="12.75">
      <c r="A34" s="50"/>
      <c r="B34" s="50"/>
      <c r="C34" s="50"/>
      <c r="D34" s="51"/>
      <c r="E34" s="52">
        <f t="shared" si="3"/>
      </c>
      <c r="F34" s="13"/>
      <c r="H34" s="50"/>
      <c r="I34" s="50"/>
      <c r="J34" s="50"/>
      <c r="K34" s="50"/>
      <c r="L34" s="51"/>
      <c r="M34" s="52">
        <f t="shared" si="4"/>
      </c>
      <c r="O34" s="56" t="s">
        <v>88</v>
      </c>
      <c r="P34" s="56"/>
      <c r="Q34" s="56"/>
      <c r="R34" s="56"/>
      <c r="S34" s="56"/>
      <c r="T34" s="56"/>
      <c r="U34" s="57">
        <f aca="true" t="shared" si="9" ref="U34:U46">IF($O34="","",VLOOKUP($O34,Complete_Qualities_Table,2,FALSE))</f>
        <v>5</v>
      </c>
      <c r="AA34" s="1">
        <f t="shared" si="5"/>
        <v>0</v>
      </c>
      <c r="AB34" s="54">
        <f t="shared" si="6"/>
        <v>0</v>
      </c>
      <c r="AC34" s="1">
        <f t="shared" si="7"/>
        <v>5</v>
      </c>
      <c r="AD34" s="11">
        <f t="shared" si="8"/>
        <v>0</v>
      </c>
    </row>
    <row r="35" spans="1:30" ht="12.75">
      <c r="A35" s="50"/>
      <c r="B35" s="50"/>
      <c r="C35" s="50"/>
      <c r="D35" s="51"/>
      <c r="E35" s="52">
        <f t="shared" si="3"/>
      </c>
      <c r="F35" s="13"/>
      <c r="H35" s="50"/>
      <c r="I35" s="50"/>
      <c r="J35" s="50"/>
      <c r="K35" s="50"/>
      <c r="L35" s="51"/>
      <c r="M35" s="52">
        <f t="shared" si="4"/>
      </c>
      <c r="O35" s="56"/>
      <c r="P35" s="56"/>
      <c r="Q35" s="56"/>
      <c r="R35" s="56"/>
      <c r="S35" s="56"/>
      <c r="T35" s="56"/>
      <c r="U35" s="57">
        <f t="shared" si="9"/>
      </c>
      <c r="AA35" s="1">
        <f t="shared" si="5"/>
        <v>0</v>
      </c>
      <c r="AB35" s="54">
        <f t="shared" si="6"/>
        <v>0</v>
      </c>
      <c r="AC35" s="1">
        <f t="shared" si="7"/>
      </c>
      <c r="AD35" s="11">
        <f t="shared" si="8"/>
        <v>0</v>
      </c>
    </row>
    <row r="36" spans="1:30" ht="12.75">
      <c r="A36" s="50"/>
      <c r="B36" s="50"/>
      <c r="C36" s="50"/>
      <c r="D36" s="51"/>
      <c r="E36" s="52">
        <f t="shared" si="3"/>
      </c>
      <c r="F36" s="13"/>
      <c r="H36" s="50"/>
      <c r="I36" s="50"/>
      <c r="J36" s="50"/>
      <c r="K36" s="50"/>
      <c r="L36" s="51"/>
      <c r="M36" s="52">
        <f t="shared" si="4"/>
      </c>
      <c r="N36" s="2"/>
      <c r="O36" s="56"/>
      <c r="P36" s="56"/>
      <c r="Q36" s="56"/>
      <c r="R36" s="56"/>
      <c r="S36" s="56"/>
      <c r="T36" s="56"/>
      <c r="U36" s="57">
        <f t="shared" si="9"/>
      </c>
      <c r="AA36" s="1">
        <f t="shared" si="5"/>
        <v>0</v>
      </c>
      <c r="AB36" s="54">
        <f t="shared" si="6"/>
        <v>0</v>
      </c>
      <c r="AC36" s="1">
        <f t="shared" si="7"/>
      </c>
      <c r="AD36" s="11">
        <f t="shared" si="8"/>
        <v>0</v>
      </c>
    </row>
    <row r="37" spans="1:30" ht="12.75">
      <c r="A37" s="50"/>
      <c r="B37" s="50"/>
      <c r="C37" s="50"/>
      <c r="D37" s="51"/>
      <c r="E37" s="52">
        <f t="shared" si="3"/>
      </c>
      <c r="F37" s="13"/>
      <c r="H37" s="5" t="s">
        <v>89</v>
      </c>
      <c r="I37" s="58"/>
      <c r="J37" s="58"/>
      <c r="L37" s="59" t="s">
        <v>4</v>
      </c>
      <c r="M37" s="59"/>
      <c r="O37" s="56"/>
      <c r="P37" s="56"/>
      <c r="Q37" s="56"/>
      <c r="R37" s="56"/>
      <c r="S37" s="56"/>
      <c r="T37" s="56"/>
      <c r="U37" s="57">
        <f t="shared" si="9"/>
      </c>
      <c r="AA37" s="1">
        <f t="shared" si="5"/>
        <v>0</v>
      </c>
      <c r="AB37" s="54">
        <f t="shared" si="6"/>
        <v>0</v>
      </c>
      <c r="AC37" s="1">
        <f t="shared" si="7"/>
      </c>
      <c r="AD37" s="11">
        <f t="shared" si="8"/>
        <v>0</v>
      </c>
    </row>
    <row r="38" spans="1:30" ht="12.75">
      <c r="A38" s="50"/>
      <c r="B38" s="50"/>
      <c r="C38" s="50"/>
      <c r="D38" s="51"/>
      <c r="E38" s="52">
        <f t="shared" si="3"/>
      </c>
      <c r="F38" s="13"/>
      <c r="H38" s="56" t="s">
        <v>90</v>
      </c>
      <c r="I38" s="56"/>
      <c r="J38" s="56"/>
      <c r="K38" s="56"/>
      <c r="L38" s="60" t="s">
        <v>91</v>
      </c>
      <c r="M38" s="52">
        <f aca="true" t="shared" si="10" ref="M38:M46">IF(H38="","",IF(I38="GS",4,6))</f>
        <v>6</v>
      </c>
      <c r="O38" s="56"/>
      <c r="P38" s="56"/>
      <c r="Q38" s="56"/>
      <c r="R38" s="56"/>
      <c r="S38" s="56"/>
      <c r="T38" s="56"/>
      <c r="U38" s="57">
        <f t="shared" si="9"/>
      </c>
      <c r="AA38" s="1">
        <f t="shared" si="5"/>
        <v>0</v>
      </c>
      <c r="AB38" s="54">
        <f t="shared" si="6"/>
        <v>0</v>
      </c>
      <c r="AC38" s="1">
        <f t="shared" si="7"/>
      </c>
      <c r="AD38" s="11">
        <f t="shared" si="8"/>
        <v>0</v>
      </c>
    </row>
    <row r="39" spans="1:30" ht="12.75">
      <c r="A39" s="50"/>
      <c r="B39" s="50"/>
      <c r="C39" s="50"/>
      <c r="D39" s="51"/>
      <c r="E39" s="52">
        <f t="shared" si="3"/>
      </c>
      <c r="F39" s="13"/>
      <c r="H39" s="56" t="s">
        <v>92</v>
      </c>
      <c r="I39" s="56"/>
      <c r="J39" s="56"/>
      <c r="K39" s="56"/>
      <c r="L39" s="51">
        <v>3</v>
      </c>
      <c r="M39" s="52">
        <f t="shared" si="10"/>
        <v>6</v>
      </c>
      <c r="O39" s="56"/>
      <c r="P39" s="56"/>
      <c r="Q39" s="56"/>
      <c r="R39" s="56"/>
      <c r="S39" s="56"/>
      <c r="T39" s="56"/>
      <c r="U39" s="57">
        <f t="shared" si="9"/>
      </c>
      <c r="AA39" s="1">
        <f t="shared" si="5"/>
        <v>0</v>
      </c>
      <c r="AB39" s="54">
        <f t="shared" si="6"/>
        <v>0</v>
      </c>
      <c r="AC39" s="1">
        <f t="shared" si="7"/>
      </c>
      <c r="AD39" s="11">
        <f t="shared" si="8"/>
        <v>0</v>
      </c>
    </row>
    <row r="40" spans="1:30" ht="12.75">
      <c r="A40" s="50"/>
      <c r="B40" s="50"/>
      <c r="C40" s="50"/>
      <c r="D40" s="51"/>
      <c r="E40" s="52">
        <f t="shared" si="3"/>
      </c>
      <c r="F40" s="13"/>
      <c r="H40" s="56" t="s">
        <v>93</v>
      </c>
      <c r="I40" s="56"/>
      <c r="J40" s="56"/>
      <c r="K40" s="56"/>
      <c r="L40" s="51">
        <v>4</v>
      </c>
      <c r="M40" s="52">
        <f t="shared" si="10"/>
        <v>6</v>
      </c>
      <c r="O40" s="56" t="s">
        <v>94</v>
      </c>
      <c r="P40" s="56"/>
      <c r="Q40" s="56"/>
      <c r="R40" s="56"/>
      <c r="S40" s="56"/>
      <c r="T40" s="56"/>
      <c r="U40" s="57" t="str">
        <f t="shared" si="9"/>
        <v> </v>
      </c>
      <c r="AA40" s="1">
        <f t="shared" si="5"/>
        <v>0</v>
      </c>
      <c r="AB40" s="54">
        <f t="shared" si="6"/>
        <v>0</v>
      </c>
      <c r="AC40" s="1" t="str">
        <f t="shared" si="7"/>
        <v> </v>
      </c>
      <c r="AD40" s="11">
        <f t="shared" si="8"/>
        <v>0</v>
      </c>
    </row>
    <row r="41" spans="1:30" ht="12.75">
      <c r="A41" s="50"/>
      <c r="B41" s="50"/>
      <c r="C41" s="50"/>
      <c r="D41" s="51"/>
      <c r="E41" s="52">
        <f t="shared" si="3"/>
      </c>
      <c r="F41" s="13"/>
      <c r="H41" s="56" t="s">
        <v>95</v>
      </c>
      <c r="I41" s="56"/>
      <c r="J41" s="56"/>
      <c r="K41" s="56"/>
      <c r="L41" s="51">
        <v>1</v>
      </c>
      <c r="M41" s="52">
        <f t="shared" si="10"/>
        <v>6</v>
      </c>
      <c r="O41" s="56" t="s">
        <v>96</v>
      </c>
      <c r="P41" s="56"/>
      <c r="Q41" s="56"/>
      <c r="R41" s="56"/>
      <c r="S41" s="56"/>
      <c r="T41" s="56"/>
      <c r="U41" s="57">
        <f t="shared" si="9"/>
        <v>-5</v>
      </c>
      <c r="V41" s="1" t="s">
        <v>97</v>
      </c>
      <c r="AA41" s="1">
        <f t="shared" si="5"/>
        <v>0</v>
      </c>
      <c r="AB41" s="54">
        <f t="shared" si="6"/>
        <v>0</v>
      </c>
      <c r="AC41" s="1">
        <f t="shared" si="7"/>
        <v>0</v>
      </c>
      <c r="AD41" s="11">
        <f t="shared" si="8"/>
        <v>-5</v>
      </c>
    </row>
    <row r="42" spans="1:30" ht="12.75">
      <c r="A42" s="50"/>
      <c r="B42" s="50"/>
      <c r="C42" s="50"/>
      <c r="D42" s="51"/>
      <c r="E42" s="52">
        <f t="shared" si="3"/>
      </c>
      <c r="F42" s="13"/>
      <c r="H42" s="56" t="s">
        <v>98</v>
      </c>
      <c r="I42" s="56"/>
      <c r="J42" s="56"/>
      <c r="K42" s="56"/>
      <c r="L42" s="51">
        <v>1</v>
      </c>
      <c r="M42" s="52">
        <f t="shared" si="10"/>
        <v>6</v>
      </c>
      <c r="O42" s="56" t="s">
        <v>99</v>
      </c>
      <c r="P42" s="56"/>
      <c r="Q42" s="56"/>
      <c r="R42" s="56"/>
      <c r="S42" s="56"/>
      <c r="T42" s="56"/>
      <c r="U42" s="57">
        <f t="shared" si="9"/>
        <v>-20</v>
      </c>
      <c r="AA42" s="1">
        <f t="shared" si="5"/>
        <v>0</v>
      </c>
      <c r="AB42" s="54">
        <f t="shared" si="6"/>
        <v>0</v>
      </c>
      <c r="AC42" s="1">
        <f t="shared" si="7"/>
        <v>0</v>
      </c>
      <c r="AD42" s="11">
        <f t="shared" si="8"/>
        <v>-20</v>
      </c>
    </row>
    <row r="43" spans="1:30" ht="12.75">
      <c r="A43" s="50"/>
      <c r="B43" s="50"/>
      <c r="C43" s="50"/>
      <c r="D43" s="51"/>
      <c r="E43" s="52">
        <f t="shared" si="3"/>
      </c>
      <c r="F43" s="13"/>
      <c r="H43" s="56" t="s">
        <v>100</v>
      </c>
      <c r="I43" s="56"/>
      <c r="J43" s="56"/>
      <c r="K43" s="56"/>
      <c r="L43" s="51">
        <v>1</v>
      </c>
      <c r="M43" s="52">
        <f t="shared" si="10"/>
        <v>6</v>
      </c>
      <c r="O43" s="56" t="s">
        <v>101</v>
      </c>
      <c r="P43" s="56"/>
      <c r="Q43" s="56"/>
      <c r="R43" s="56"/>
      <c r="S43" s="56"/>
      <c r="T43" s="56"/>
      <c r="U43" s="57">
        <f t="shared" si="9"/>
        <v>-10</v>
      </c>
      <c r="AA43" s="1">
        <f t="shared" si="5"/>
        <v>0</v>
      </c>
      <c r="AB43" s="54">
        <f t="shared" si="6"/>
        <v>0</v>
      </c>
      <c r="AC43" s="1">
        <f t="shared" si="7"/>
        <v>0</v>
      </c>
      <c r="AD43" s="11">
        <f t="shared" si="8"/>
        <v>-10</v>
      </c>
    </row>
    <row r="44" spans="1:30" ht="12.75">
      <c r="A44" s="50"/>
      <c r="B44" s="50"/>
      <c r="C44" s="50"/>
      <c r="D44" s="51"/>
      <c r="E44" s="52">
        <f t="shared" si="3"/>
      </c>
      <c r="F44" s="13"/>
      <c r="H44" s="56"/>
      <c r="I44" s="56"/>
      <c r="J44" s="56"/>
      <c r="K44" s="56"/>
      <c r="L44" s="51"/>
      <c r="M44" s="52">
        <f t="shared" si="10"/>
      </c>
      <c r="O44" s="56"/>
      <c r="P44" s="56"/>
      <c r="Q44" s="56"/>
      <c r="R44" s="56"/>
      <c r="S44" s="56"/>
      <c r="T44" s="56"/>
      <c r="U44" s="57">
        <f t="shared" si="9"/>
      </c>
      <c r="AA44" s="1">
        <f t="shared" si="5"/>
        <v>0</v>
      </c>
      <c r="AB44" s="54">
        <f t="shared" si="6"/>
        <v>0</v>
      </c>
      <c r="AC44" s="1">
        <f t="shared" si="7"/>
      </c>
      <c r="AD44" s="11">
        <f t="shared" si="8"/>
        <v>0</v>
      </c>
    </row>
    <row r="45" spans="1:30" ht="12.75">
      <c r="A45" s="50"/>
      <c r="B45" s="50"/>
      <c r="C45" s="50"/>
      <c r="D45" s="51"/>
      <c r="E45" s="52">
        <f t="shared" si="3"/>
      </c>
      <c r="F45" s="13"/>
      <c r="H45" s="56"/>
      <c r="I45" s="56"/>
      <c r="J45" s="56"/>
      <c r="K45" s="56"/>
      <c r="L45" s="51"/>
      <c r="M45" s="52">
        <f t="shared" si="10"/>
      </c>
      <c r="O45" s="56"/>
      <c r="P45" s="56"/>
      <c r="Q45" s="56"/>
      <c r="R45" s="56"/>
      <c r="S45" s="56"/>
      <c r="T45" s="56"/>
      <c r="U45" s="57">
        <f t="shared" si="9"/>
      </c>
      <c r="AA45" s="1">
        <f t="shared" si="5"/>
        <v>0</v>
      </c>
      <c r="AB45" s="54">
        <f t="shared" si="6"/>
        <v>0</v>
      </c>
      <c r="AC45" s="1">
        <f t="shared" si="7"/>
      </c>
      <c r="AD45" s="11">
        <f t="shared" si="8"/>
        <v>0</v>
      </c>
    </row>
    <row r="46" spans="1:30" ht="12.75">
      <c r="A46" s="50"/>
      <c r="B46" s="50"/>
      <c r="C46" s="50"/>
      <c r="D46" s="51"/>
      <c r="E46" s="52">
        <f t="shared" si="3"/>
      </c>
      <c r="F46" s="13"/>
      <c r="H46" s="56"/>
      <c r="I46" s="56"/>
      <c r="J46" s="56"/>
      <c r="K46" s="56"/>
      <c r="L46" s="51"/>
      <c r="M46" s="52">
        <f t="shared" si="10"/>
      </c>
      <c r="O46" s="56"/>
      <c r="P46" s="56"/>
      <c r="Q46" s="56"/>
      <c r="R46" s="56"/>
      <c r="S46" s="56"/>
      <c r="T46" s="56"/>
      <c r="U46" s="57">
        <f t="shared" si="9"/>
      </c>
      <c r="AA46" s="1">
        <f t="shared" si="5"/>
        <v>0</v>
      </c>
      <c r="AB46" s="54">
        <f t="shared" si="6"/>
        <v>0</v>
      </c>
      <c r="AC46" s="1">
        <f t="shared" si="7"/>
      </c>
      <c r="AD46" s="11">
        <f t="shared" si="8"/>
        <v>0</v>
      </c>
    </row>
    <row r="47" spans="15:25" s="61" customFormat="1" ht="9.75">
      <c r="O47" s="61" t="s">
        <v>102</v>
      </c>
      <c r="S47" s="62"/>
      <c r="T47" s="62"/>
      <c r="U47" s="62"/>
      <c r="W47" s="62"/>
      <c r="X47" s="62"/>
      <c r="Y47" s="62"/>
    </row>
  </sheetData>
  <mergeCells count="107">
    <mergeCell ref="B1:D1"/>
    <mergeCell ref="L1:M1"/>
    <mergeCell ref="N1:P1"/>
    <mergeCell ref="R1:S1"/>
    <mergeCell ref="B2:D2"/>
    <mergeCell ref="B3:C3"/>
    <mergeCell ref="B4:C4"/>
    <mergeCell ref="B6:G6"/>
    <mergeCell ref="B7:G7"/>
    <mergeCell ref="T7:U7"/>
    <mergeCell ref="B8:G9"/>
    <mergeCell ref="B10:G15"/>
    <mergeCell ref="Q11:R11"/>
    <mergeCell ref="T11:U11"/>
    <mergeCell ref="T12:U12"/>
    <mergeCell ref="U13:U17"/>
    <mergeCell ref="K15:L15"/>
    <mergeCell ref="T15:T17"/>
    <mergeCell ref="F16:F17"/>
    <mergeCell ref="D17:E17"/>
    <mergeCell ref="L17:M17"/>
    <mergeCell ref="A18:C18"/>
    <mergeCell ref="H18:K18"/>
    <mergeCell ref="O18:S18"/>
    <mergeCell ref="A19:C19"/>
    <mergeCell ref="H19:K19"/>
    <mergeCell ref="O19:S19"/>
    <mergeCell ref="A20:C20"/>
    <mergeCell ref="H20:K20"/>
    <mergeCell ref="O20:S20"/>
    <mergeCell ref="A21:C21"/>
    <mergeCell ref="H21:K21"/>
    <mergeCell ref="O21:S21"/>
    <mergeCell ref="A22:C22"/>
    <mergeCell ref="H22:K22"/>
    <mergeCell ref="O22:S22"/>
    <mergeCell ref="A23:C23"/>
    <mergeCell ref="H23:K23"/>
    <mergeCell ref="O23:S23"/>
    <mergeCell ref="A24:C24"/>
    <mergeCell ref="H24:K24"/>
    <mergeCell ref="O24:S24"/>
    <mergeCell ref="A25:C25"/>
    <mergeCell ref="H25:K25"/>
    <mergeCell ref="O25:S25"/>
    <mergeCell ref="A26:C26"/>
    <mergeCell ref="H26:K26"/>
    <mergeCell ref="O26:S26"/>
    <mergeCell ref="A27:C27"/>
    <mergeCell ref="H27:K27"/>
    <mergeCell ref="O27:S27"/>
    <mergeCell ref="A28:C28"/>
    <mergeCell ref="H28:K28"/>
    <mergeCell ref="O28:S28"/>
    <mergeCell ref="A29:C29"/>
    <mergeCell ref="H29:K29"/>
    <mergeCell ref="O29:S29"/>
    <mergeCell ref="A30:C30"/>
    <mergeCell ref="H30:K30"/>
    <mergeCell ref="O30:S30"/>
    <mergeCell ref="A31:C31"/>
    <mergeCell ref="H31:K31"/>
    <mergeCell ref="O31:S31"/>
    <mergeCell ref="A32:C32"/>
    <mergeCell ref="H32:K32"/>
    <mergeCell ref="A33:C33"/>
    <mergeCell ref="H33:K33"/>
    <mergeCell ref="O33:T33"/>
    <mergeCell ref="A34:C34"/>
    <mergeCell ref="H34:K34"/>
    <mergeCell ref="O34:T34"/>
    <mergeCell ref="A35:C35"/>
    <mergeCell ref="H35:K35"/>
    <mergeCell ref="O35:T35"/>
    <mergeCell ref="A36:C36"/>
    <mergeCell ref="H36:K36"/>
    <mergeCell ref="O36:T36"/>
    <mergeCell ref="A37:C37"/>
    <mergeCell ref="L37:M37"/>
    <mergeCell ref="O37:T37"/>
    <mergeCell ref="A38:C38"/>
    <mergeCell ref="H38:K38"/>
    <mergeCell ref="O38:T38"/>
    <mergeCell ref="A39:C39"/>
    <mergeCell ref="H39:K39"/>
    <mergeCell ref="O39:T39"/>
    <mergeCell ref="A40:C40"/>
    <mergeCell ref="H40:K40"/>
    <mergeCell ref="O40:T40"/>
    <mergeCell ref="A41:C41"/>
    <mergeCell ref="H41:K41"/>
    <mergeCell ref="O41:T41"/>
    <mergeCell ref="A42:C42"/>
    <mergeCell ref="H42:K42"/>
    <mergeCell ref="O42:T42"/>
    <mergeCell ref="A43:C43"/>
    <mergeCell ref="H43:K43"/>
    <mergeCell ref="O43:T43"/>
    <mergeCell ref="A44:C44"/>
    <mergeCell ref="H44:K44"/>
    <mergeCell ref="O44:T44"/>
    <mergeCell ref="A45:C45"/>
    <mergeCell ref="H45:K45"/>
    <mergeCell ref="O45:T45"/>
    <mergeCell ref="A46:C46"/>
    <mergeCell ref="H46:K46"/>
    <mergeCell ref="O46:T46"/>
  </mergeCells>
  <conditionalFormatting sqref="A18:C18 A20:C20">
    <cfRule type="expression" priority="1" dxfId="0" stopIfTrue="1">
      <formula>FIND("(Group)",$A18)&gt;0</formula>
    </cfRule>
  </conditionalFormatting>
  <conditionalFormatting sqref="A19:C19 A21:C46">
    <cfRule type="expression" priority="2" dxfId="0" stopIfTrue="1">
      <formula>FIND("(Group)",$A19)&gt;0</formula>
    </cfRule>
    <cfRule type="expression" priority="3" dxfId="1" stopIfTrue="1">
      <formula>F18&lt;&gt;""</formula>
    </cfRule>
  </conditionalFormatting>
  <conditionalFormatting sqref="E19:F46">
    <cfRule type="expression" priority="4" dxfId="2" stopIfTrue="1">
      <formula>$F18&lt;&gt;""</formula>
    </cfRule>
  </conditionalFormatting>
  <conditionalFormatting sqref="F18">
    <cfRule type="expression" priority="5" dxfId="3" stopIfTrue="1">
      <formula>AND(FIND("(Group)",$A18)&gt;0,$F18&lt;&gt;"")</formula>
    </cfRule>
  </conditionalFormatting>
  <conditionalFormatting sqref="L2:L12">
    <cfRule type="cellIs" priority="6" dxfId="3" operator="greaterThan" stopIfTrue="1">
      <formula>$M2</formula>
    </cfRule>
  </conditionalFormatting>
  <conditionalFormatting sqref="S8">
    <cfRule type="cellIs" priority="7" dxfId="4" operator="greaterThan" stopIfTrue="1">
      <formula>35</formula>
    </cfRule>
  </conditionalFormatting>
  <conditionalFormatting sqref="S9">
    <cfRule type="cellIs" priority="8" dxfId="4" operator="lessThan" stopIfTrue="1">
      <formula>-35</formula>
    </cfRule>
  </conditionalFormatting>
  <conditionalFormatting sqref="S7">
    <cfRule type="expression" priority="9" dxfId="5" stopIfTrue="1">
      <formula>($S$7+$T$7)&gt;0</formula>
    </cfRule>
  </conditionalFormatting>
  <conditionalFormatting sqref="S12">
    <cfRule type="cellIs" priority="10" dxfId="4" operator="greaterThan" stopIfTrue="1">
      <formula>$T$12</formula>
    </cfRule>
  </conditionalFormatting>
  <conditionalFormatting sqref="O11:O12">
    <cfRule type="cellIs" priority="11" dxfId="3" operator="lessThan" stopIfTrue="1">
      <formula>0</formula>
    </cfRule>
  </conditionalFormatting>
  <conditionalFormatting sqref="K11">
    <cfRule type="expression" priority="12" dxfId="5" stopIfTrue="1">
      <formula>AND($B$2="None",$K$11&gt;0)</formula>
    </cfRule>
  </conditionalFormatting>
  <conditionalFormatting sqref="D18:D46">
    <cfRule type="expression" priority="13" dxfId="3" stopIfTrue="1">
      <formula>AND(FIND("(Group)",$A18)&gt;0,$D18&gt;4)</formula>
    </cfRule>
  </conditionalFormatting>
  <conditionalFormatting sqref="B4:D4">
    <cfRule type="expression" priority="14" dxfId="3" stopIfTrue="1">
      <formula>$B$4&lt;0</formula>
    </cfRule>
  </conditionalFormatting>
  <conditionalFormatting sqref="K15:L15">
    <cfRule type="cellIs" priority="15" dxfId="4" operator="lessThanOrEqual" stopIfTrue="1">
      <formula>0</formula>
    </cfRule>
  </conditionalFormatting>
  <conditionalFormatting sqref="U18:U31">
    <cfRule type="expression" priority="16" dxfId="6" stopIfTrue="1">
      <formula>Clout_House_Rule</formula>
    </cfRule>
  </conditionalFormatting>
  <conditionalFormatting sqref="S2">
    <cfRule type="cellIs" priority="17" dxfId="4" operator="greaterThan" stopIfTrue="1">
      <formula>$T$12/2</formula>
    </cfRule>
  </conditionalFormatting>
  <conditionalFormatting sqref="K12">
    <cfRule type="expression" priority="18" dxfId="7" stopIfTrue="1">
      <formula>Clout_House_Rule</formula>
    </cfRule>
  </conditionalFormatting>
  <dataValidations count="9">
    <dataValidation type="list" allowBlank="1" sqref="H38:K46">
      <formula1>Language_Skill</formula1>
      <formula2>0</formula2>
    </dataValidation>
    <dataValidation type="list" allowBlank="1" showErrorMessage="1" sqref="O33:O46">
      <formula1>Qualities</formula1>
      <formula2>0</formula2>
    </dataValidation>
    <dataValidation errorStyle="warning" type="list" allowBlank="1" showInputMessage="1" showErrorMessage="1" promptTitle="Select magic or techno aptitude" prompt="None, Adept, Mystic Adept, Magician or Technomancer" errorTitle="Select magic or techno aptitude" error="None&#10;Adept&#10;Mystic Adept&#10;Magician&#10;Technomancer" sqref="B2:C2">
      <formula1>Magic</formula1>
      <formula2>0</formula2>
    </dataValidation>
    <dataValidation errorStyle="warning" type="list" allowBlank="1" showInputMessage="1" showErrorMessage="1" promptTitle="Select resources" prompt="Resources are in 5,000 increments&#10;Range is 0 to 250,000" errorTitle="Please select resources" error="Resources are in 5,000 increments&#10;Range is 0 to 250,000" sqref="B3">
      <formula1>Nuyen</formula1>
      <formula2>0</formula2>
    </dataValidation>
    <dataValidation errorStyle="information" type="list" allowBlank="1" showInputMessage="1" showErrorMessage="1" promptTitle="Select Race" prompt="Dwarf, Elf, Human, Orc or Troll" errorTitle="You must select a race" error="Dwarf&#10;Elf&#10;Human&#10;Orc&#10;Troll" sqref="B1:C1">
      <formula1>Race</formula1>
      <formula2>0</formula2>
    </dataValidation>
    <dataValidation type="list" allowBlank="1" sqref="A18:C46">
      <formula1>Skill_List</formula1>
      <formula2>0</formula2>
    </dataValidation>
    <dataValidation type="list" allowBlank="1" showErrorMessage="1" sqref="T18:U31">
      <formula1>Rating</formula1>
      <formula2>0</formula2>
    </dataValidation>
    <dataValidation type="list" allowBlank="1" sqref="H18:K36">
      <formula1>Knowledge_List</formula1>
      <formula2>0</formula2>
    </dataValidation>
    <dataValidation type="whole" allowBlank="1" showErrorMessage="1" errorTitle="Skill/Skill Group Rank" error="Enter a value between 1 and 4 for Skill Groups, and 1 and 6 for Skills. If you have the Aptitude Quality for a Skill you may alternatively enter a value of 7." sqref="D18:D46">
      <formula1>1</formula1>
      <formula2>7</formula2>
    </dataValidation>
  </dataValidations>
  <printOptions/>
  <pageMargins left="0.4" right="0.4" top="0.4" bottom="0.4" header="0.5118055555555556" footer="0.5118055555555556"/>
  <pageSetup fitToHeight="1" fitToWidth="1" horizontalDpi="300" verticalDpi="300" orientation="portrait"/>
  <drawing r:id="rId3"/>
  <legacyDrawing r:id="rId2"/>
</worksheet>
</file>

<file path=xl/worksheets/sheet2.xml><?xml version="1.0" encoding="utf-8"?>
<worksheet xmlns="http://schemas.openxmlformats.org/spreadsheetml/2006/main" xmlns:r="http://schemas.openxmlformats.org/officeDocument/2006/relationships">
  <sheetPr codeName="Sheet2">
    <pageSetUpPr fitToPage="1"/>
  </sheetPr>
  <dimension ref="A1:T30"/>
  <sheetViews>
    <sheetView showGridLines="0" workbookViewId="0" topLeftCell="A1">
      <selection activeCell="H3" sqref="H3"/>
    </sheetView>
  </sheetViews>
  <sheetFormatPr defaultColWidth="9.140625" defaultRowHeight="12.75"/>
  <cols>
    <col min="1" max="1" width="6.57421875" style="1" customWidth="1"/>
    <col min="2" max="2" width="25.8515625" style="1" customWidth="1"/>
    <col min="3" max="3" width="8.7109375" style="1" customWidth="1"/>
    <col min="4" max="4" width="2.7109375" style="11" customWidth="1"/>
    <col min="5" max="5" width="18.7109375" style="1" customWidth="1"/>
    <col min="6" max="6" width="3.00390625" style="1" customWidth="1"/>
    <col min="7" max="7" width="10.7109375" style="1" customWidth="1"/>
    <col min="8" max="8" width="5.7109375" style="1" customWidth="1"/>
    <col min="9" max="9" width="6.57421875" style="1" customWidth="1"/>
    <col min="10" max="10" width="37.421875" style="1" customWidth="1"/>
    <col min="11" max="11" width="2.7109375" style="1" customWidth="1"/>
    <col min="12" max="12" width="4.140625" style="1" customWidth="1"/>
    <col min="13" max="13" width="3.57421875" style="1" customWidth="1"/>
    <col min="14" max="14" width="4.140625" style="1" customWidth="1"/>
    <col min="15" max="15" width="3.421875" style="1" customWidth="1"/>
    <col min="16" max="16" width="3.8515625" style="1" customWidth="1"/>
    <col min="17" max="17" width="4.140625" style="1" customWidth="1"/>
    <col min="18" max="18" width="3.7109375" style="1" customWidth="1"/>
    <col min="19" max="20" width="0" style="1" hidden="1" customWidth="1"/>
    <col min="22" max="16384" width="9.140625" style="1" customWidth="1"/>
  </cols>
  <sheetData>
    <row r="1" spans="1:5" ht="12.75">
      <c r="A1" s="5" t="s">
        <v>103</v>
      </c>
      <c r="E1" s="5" t="s">
        <v>104</v>
      </c>
    </row>
    <row r="2" spans="1:20" ht="12.75">
      <c r="A2" s="63"/>
      <c r="B2" s="63"/>
      <c r="C2" s="63"/>
      <c r="E2" s="64" t="s">
        <v>105</v>
      </c>
      <c r="F2" s="64"/>
      <c r="G2" s="64"/>
      <c r="H2" s="65" t="s">
        <v>4</v>
      </c>
      <c r="I2" s="66" t="s">
        <v>106</v>
      </c>
      <c r="J2" s="66" t="s">
        <v>107</v>
      </c>
      <c r="L2" s="66" t="s">
        <v>108</v>
      </c>
      <c r="M2" s="64" t="s">
        <v>109</v>
      </c>
      <c r="N2" s="64" t="s">
        <v>110</v>
      </c>
      <c r="O2" s="64" t="s">
        <v>111</v>
      </c>
      <c r="P2" s="66" t="s">
        <v>112</v>
      </c>
      <c r="Q2" s="64" t="s">
        <v>113</v>
      </c>
      <c r="R2" s="64" t="s">
        <v>114</v>
      </c>
      <c r="S2" s="67" t="s">
        <v>115</v>
      </c>
      <c r="T2" s="67" t="s">
        <v>116</v>
      </c>
    </row>
    <row r="3" spans="1:20" ht="12.75">
      <c r="A3" s="63"/>
      <c r="B3" s="63"/>
      <c r="C3" s="63"/>
      <c r="E3" s="30" t="s">
        <v>117</v>
      </c>
      <c r="F3" s="30"/>
      <c r="G3" s="30"/>
      <c r="H3" s="13">
        <v>2</v>
      </c>
      <c r="I3" s="68">
        <f aca="true" t="shared" si="0" ref="I3:I16">IF($T3="","",(VLOOKUP($T3,Complete_Adept_Powers_Table,2,FALSE))*IF($H3="N/A",1,IF($H3="",1,$H3)))</f>
        <v>1</v>
      </c>
      <c r="J3" s="57" t="str">
        <f aca="true" t="shared" si="1" ref="J3:J16">IF($T3="","",VLOOKUP($T3,Complete_Adept_Powers_Table,3,FALSE))</f>
        <v>+1 to social tests</v>
      </c>
      <c r="L3" s="68">
        <f>IF($T3="","",IF(VLOOKUP($T3,Complete_Adept_Powers_Table,5,FALSE)="","",VLOOKUP($T3,Complete_Adept_Powers_Table,5,FALSE)*(IF($H3="",1,IF($H3="N/A",1,$H3)))))</f>
      </c>
      <c r="M3" s="68">
        <f>IF($T3="","",IF(VLOOKUP($T3,Complete_Adept_Powers_Table,6,FALSE)="","",VLOOKUP($T3,Complete_Adept_Powers_Table,6,FALSE)*(IF($H3="",1,IF($H3="N/A",1,$H3)))))</f>
      </c>
      <c r="N3" s="68">
        <f>IF($T3="","",IF(VLOOKUP($T3,Complete_Adept_Powers_Table,7,FALSE)="","",VLOOKUP($T3,Complete_Adept_Powers_Table,7,FALSE)*(IF($H3="",1,IF($H3="N/A",1,$H3)))))</f>
      </c>
      <c r="O3" s="68">
        <f>IF($T3="","",IF(VLOOKUP($T3,Complete_Adept_Powers_Table,8,FALSE)="","",VLOOKUP($T3,Complete_Adept_Powers_Table,8,FALSE)*(IF($H3="",1,IF($H3="N/A",1,$H3)))))</f>
      </c>
      <c r="P3" s="68">
        <f>IF($T3="","",IF(VLOOKUP($T3,Complete_Adept_Powers_Table,13,FALSE)="","",VLOOKUP($T3,Complete_Adept_Powers_Table,13,FALSE)*(IF($H3="",1,IF($H3="N/A",1,$H3)))))</f>
      </c>
      <c r="Q3" s="68">
        <f>IF($T3="","",IF(VLOOKUP($T3,Complete_Adept_Powers_Table,14,FALSE)="","",VLOOKUP($T3,Complete_Adept_Powers_Table,14,FALSE)*(IF($H3="",1,IF($H3="N/A",1,$H3)))))</f>
      </c>
      <c r="R3" s="68">
        <f>IF($T3="","",IF(VLOOKUP($T3,Complete_Adept_Powers_Table,15,FALSE)="","",VLOOKUP($T3,Complete_Adept_Powers_Table,15,FALSE)*(IF($H3="",1,IF($H3="N/A",1,$H3)))))</f>
      </c>
      <c r="S3" s="1" t="str">
        <f aca="true" t="shared" si="2" ref="S3:S16">IF(E3="","",IF(ISERROR(FIND("Improved Sense",E3)),IF(ISERROR(FIND("Improved Combat Ability",E3)),IF(ISERROR(FIND("Improved Physical Ability",E3)),IF(ISERROR(FIND("Improved Social Ability",E3)),IF(ISERROR(FIND("Improved Tech. Ability",E3)),E3,"Improved Tech. Ability [Skill]"),"Improved Social Ability [Skill]"),"Improved Physical Ability [Skill]"),"Improved Combat Ability [Skill]"),"Improved Sense [Sense]"))</f>
        <v>Kinesics</v>
      </c>
      <c r="T3" s="1" t="str">
        <f>IF(S3="","",IF(ISERROR(FIND("Attribute Boost",S3)),S3,"Attribute Boost [Attribute]"))</f>
        <v>Kinesics</v>
      </c>
    </row>
    <row r="4" spans="1:20" ht="12.75">
      <c r="A4" s="63"/>
      <c r="B4" s="63"/>
      <c r="C4" s="63"/>
      <c r="E4" s="30" t="s">
        <v>118</v>
      </c>
      <c r="F4" s="30"/>
      <c r="G4" s="30"/>
      <c r="H4" s="13"/>
      <c r="I4" s="68">
        <f t="shared" si="0"/>
        <v>2</v>
      </c>
      <c r="J4" s="57" t="str">
        <f t="shared" si="1"/>
        <v>+1 Reaction/+1 Initiative Pass</v>
      </c>
      <c r="L4" s="68" t="e">
        <f>IF($T4="","",(VLOOKUP($T4,Complete_Adept_Powers_Table,8,FALSE))*(IF($H4="",1,IF($H4="N/A",1,$H4))))</f>
        <v>#VALUE!</v>
      </c>
      <c r="M4" s="68" t="e">
        <f aca="true" t="shared" si="3" ref="M4:M16">IF($T4="","",(VLOOKUP($T4,Complete_Adept_Powers_Table,6,FALSE))*(IF($H4="",1,IF($H4="N/A",1,$H4))))</f>
        <v>#VALUE!</v>
      </c>
      <c r="N4" s="68">
        <f aca="true" t="shared" si="4" ref="N4:N16">IF($T4="","",(VLOOKUP($T4,Complete_Adept_Powers_Table,7,FALSE))*(IF($H4="",1,IF($H4="N/A",1,$H4))))</f>
        <v>1</v>
      </c>
      <c r="O4" s="68" t="e">
        <f aca="true" t="shared" si="5" ref="O4:O16">IF($T4="","",(VLOOKUP($T4,Complete_Adept_Powers_Table,8,FALSE))*(IF($H4="",1,IF($H4="N/A",1,$H4))))</f>
        <v>#VALUE!</v>
      </c>
      <c r="P4" s="68">
        <f aca="true" t="shared" si="6" ref="P4:P16">IF($T4="","",(VLOOKUP($T4,Complete_Adept_Powers_Table,13,FALSE))*(IF($H4="",1,IF($H4="N/A",1,$H4))))</f>
        <v>1</v>
      </c>
      <c r="Q4" s="68" t="e">
        <f aca="true" t="shared" si="7" ref="Q4:Q16">IF($T4="","",(VLOOKUP($T4,Complete_Adept_Powers_Table,14,FALSE))*(IF($H4="",1,IF($H4="N/A",1,$H4))))</f>
        <v>#VALUE!</v>
      </c>
      <c r="R4" s="68" t="e">
        <f aca="true" t="shared" si="8" ref="R4:R16">IF($T4="","",(VLOOKUP($T4,Complete_Adept_Powers_Table,15,FALSE))*(IF($H4="",1,IF($H4="N/A",1,$H4))))</f>
        <v>#VALUE!</v>
      </c>
      <c r="S4" s="1" t="str">
        <f t="shared" si="2"/>
        <v>Improved Reflexes I</v>
      </c>
      <c r="T4" s="1" t="str">
        <f>IF(S4="","",IF(ISERROR(FIND("Attribute Boost",S4)),IF(ISERROR(FIND("Elemental Strike",S4)),IF(ISERROR(FIND("Enthralling Performance",S4)),S4,"Enthralling Performance [Skill]۞"),"Elemental Strike [Element]۞"),"Attribute Boost [Attribute]"))</f>
        <v>Improved Reflexes I</v>
      </c>
    </row>
    <row r="5" spans="1:20" ht="12.75">
      <c r="A5" s="63"/>
      <c r="B5" s="63"/>
      <c r="C5" s="63"/>
      <c r="E5" s="30" t="s">
        <v>119</v>
      </c>
      <c r="F5" s="30"/>
      <c r="G5" s="30"/>
      <c r="H5" s="13">
        <v>2</v>
      </c>
      <c r="I5" s="68">
        <f t="shared" si="0"/>
        <v>1</v>
      </c>
      <c r="J5" s="57" t="str">
        <f t="shared" si="1"/>
        <v>+1 die Surprise and Attack Defense</v>
      </c>
      <c r="L5" s="68" t="e">
        <f aca="true" t="shared" si="9" ref="L5:L16">IF($T5="","",(VLOOKUP($T5,Complete_Adept_Powers_Table,5,FALSE))*(IF($H5="",1,IF($H5="N/A",1,$H5))))</f>
        <v>#VALUE!</v>
      </c>
      <c r="M5" s="68" t="e">
        <f t="shared" si="3"/>
        <v>#VALUE!</v>
      </c>
      <c r="N5" s="68" t="e">
        <f t="shared" si="4"/>
        <v>#VALUE!</v>
      </c>
      <c r="O5" s="68" t="e">
        <f t="shared" si="5"/>
        <v>#VALUE!</v>
      </c>
      <c r="P5" s="68" t="e">
        <f t="shared" si="6"/>
        <v>#VALUE!</v>
      </c>
      <c r="Q5" s="68" t="e">
        <f t="shared" si="7"/>
        <v>#VALUE!</v>
      </c>
      <c r="R5" s="68" t="e">
        <f t="shared" si="8"/>
        <v>#VALUE!</v>
      </c>
      <c r="S5" s="1" t="str">
        <f t="shared" si="2"/>
        <v>Combat Sense</v>
      </c>
      <c r="T5" s="1" t="str">
        <f aca="true" t="shared" si="10" ref="T5:T16">IF(S5="","",IF(ISERROR(FIND("Attribute Boost",S5)),S5,"Attribute Boost [Attribute]"))</f>
        <v>Combat Sense</v>
      </c>
    </row>
    <row r="6" spans="1:20" ht="12.75">
      <c r="A6" s="63"/>
      <c r="B6" s="63"/>
      <c r="C6" s="63"/>
      <c r="E6" s="30" t="s">
        <v>120</v>
      </c>
      <c r="F6" s="30"/>
      <c r="G6" s="30"/>
      <c r="H6" s="13"/>
      <c r="I6" s="68">
        <f t="shared" si="0"/>
        <v>0.25</v>
      </c>
      <c r="J6" s="57" t="str">
        <f t="shared" si="1"/>
        <v>Boss people around</v>
      </c>
      <c r="L6" s="68" t="e">
        <f t="shared" si="9"/>
        <v>#VALUE!</v>
      </c>
      <c r="M6" s="68" t="e">
        <f t="shared" si="3"/>
        <v>#VALUE!</v>
      </c>
      <c r="N6" s="68" t="e">
        <f t="shared" si="4"/>
        <v>#VALUE!</v>
      </c>
      <c r="O6" s="68" t="e">
        <f t="shared" si="5"/>
        <v>#VALUE!</v>
      </c>
      <c r="P6" s="68" t="e">
        <f t="shared" si="6"/>
        <v>#VALUE!</v>
      </c>
      <c r="Q6" s="68" t="e">
        <f t="shared" si="7"/>
        <v>#VALUE!</v>
      </c>
      <c r="R6" s="68" t="e">
        <f t="shared" si="8"/>
        <v>#VALUE!</v>
      </c>
      <c r="S6" s="1" t="str">
        <f t="shared" si="2"/>
        <v>Commanding Voice۞</v>
      </c>
      <c r="T6" s="1" t="str">
        <f t="shared" si="10"/>
        <v>Commanding Voice۞</v>
      </c>
    </row>
    <row r="7" spans="1:20" ht="12.75">
      <c r="A7" s="63"/>
      <c r="B7" s="63"/>
      <c r="C7" s="63"/>
      <c r="E7" s="30" t="s">
        <v>121</v>
      </c>
      <c r="F7" s="30"/>
      <c r="G7" s="30"/>
      <c r="H7" s="13"/>
      <c r="I7" s="68">
        <f t="shared" si="0"/>
        <v>0.5</v>
      </c>
      <c r="J7" s="57" t="str">
        <f t="shared" si="1"/>
        <v>+1 Balistic/+1 Impact armour, also on Astral</v>
      </c>
      <c r="L7" s="68" t="e">
        <f t="shared" si="9"/>
        <v>#VALUE!</v>
      </c>
      <c r="M7" s="68" t="e">
        <f t="shared" si="3"/>
        <v>#VALUE!</v>
      </c>
      <c r="N7" s="68" t="e">
        <f t="shared" si="4"/>
        <v>#VALUE!</v>
      </c>
      <c r="O7" s="68" t="e">
        <f t="shared" si="5"/>
        <v>#VALUE!</v>
      </c>
      <c r="P7" s="68" t="e">
        <f t="shared" si="6"/>
        <v>#VALUE!</v>
      </c>
      <c r="Q7" s="68">
        <f t="shared" si="7"/>
        <v>1</v>
      </c>
      <c r="R7" s="68">
        <f t="shared" si="8"/>
        <v>1</v>
      </c>
      <c r="S7" s="1" t="str">
        <f t="shared" si="2"/>
        <v>Mystic Armor</v>
      </c>
      <c r="T7" s="1" t="str">
        <f t="shared" si="10"/>
        <v>Mystic Armor</v>
      </c>
    </row>
    <row r="8" spans="1:20" ht="12.75">
      <c r="A8" s="63"/>
      <c r="B8" s="63"/>
      <c r="C8" s="63"/>
      <c r="E8" s="30" t="s">
        <v>122</v>
      </c>
      <c r="F8" s="30"/>
      <c r="G8" s="30"/>
      <c r="H8" s="13"/>
      <c r="I8" s="68">
        <f t="shared" si="0"/>
        <v>0.25</v>
      </c>
      <c r="J8" s="57" t="str">
        <f t="shared" si="1"/>
        <v>One enchancement to a sense per level</v>
      </c>
      <c r="L8" s="68" t="e">
        <f t="shared" si="9"/>
        <v>#VALUE!</v>
      </c>
      <c r="M8" s="68" t="e">
        <f t="shared" si="3"/>
        <v>#VALUE!</v>
      </c>
      <c r="N8" s="68" t="e">
        <f t="shared" si="4"/>
        <v>#VALUE!</v>
      </c>
      <c r="O8" s="68" t="e">
        <f t="shared" si="5"/>
        <v>#VALUE!</v>
      </c>
      <c r="P8" s="68" t="e">
        <f t="shared" si="6"/>
        <v>#VALUE!</v>
      </c>
      <c r="Q8" s="68" t="e">
        <f t="shared" si="7"/>
        <v>#VALUE!</v>
      </c>
      <c r="R8" s="68" t="e">
        <f t="shared" si="8"/>
        <v>#VALUE!</v>
      </c>
      <c r="S8" s="1" t="str">
        <f t="shared" si="2"/>
        <v>Improved Sense [Sense]</v>
      </c>
      <c r="T8" s="1" t="str">
        <f t="shared" si="10"/>
        <v>Improved Sense [Sense]</v>
      </c>
    </row>
    <row r="9" spans="1:20" ht="12.75">
      <c r="A9" s="63"/>
      <c r="B9" s="63"/>
      <c r="C9" s="63"/>
      <c r="E9" s="30"/>
      <c r="F9" s="30"/>
      <c r="G9" s="30"/>
      <c r="H9" s="13"/>
      <c r="I9" s="68">
        <f t="shared" si="0"/>
      </c>
      <c r="J9" s="57">
        <f t="shared" si="1"/>
      </c>
      <c r="L9" s="68">
        <f t="shared" si="9"/>
      </c>
      <c r="M9" s="68">
        <f t="shared" si="3"/>
      </c>
      <c r="N9" s="68">
        <f t="shared" si="4"/>
      </c>
      <c r="O9" s="68">
        <f t="shared" si="5"/>
      </c>
      <c r="P9" s="68">
        <f t="shared" si="6"/>
      </c>
      <c r="Q9" s="68">
        <f t="shared" si="7"/>
      </c>
      <c r="R9" s="68">
        <f t="shared" si="8"/>
      </c>
      <c r="S9" s="1">
        <f t="shared" si="2"/>
      </c>
      <c r="T9" s="1">
        <f t="shared" si="10"/>
      </c>
    </row>
    <row r="10" spans="1:20" ht="12.75">
      <c r="A10" s="63"/>
      <c r="B10" s="63"/>
      <c r="C10" s="63"/>
      <c r="E10" s="30"/>
      <c r="F10" s="30"/>
      <c r="G10" s="30"/>
      <c r="H10" s="13"/>
      <c r="I10" s="68">
        <f t="shared" si="0"/>
      </c>
      <c r="J10" s="57">
        <f t="shared" si="1"/>
      </c>
      <c r="L10" s="68">
        <f t="shared" si="9"/>
      </c>
      <c r="M10" s="68">
        <f t="shared" si="3"/>
      </c>
      <c r="N10" s="68">
        <f t="shared" si="4"/>
      </c>
      <c r="O10" s="68">
        <f t="shared" si="5"/>
      </c>
      <c r="P10" s="68">
        <f t="shared" si="6"/>
      </c>
      <c r="Q10" s="68">
        <f t="shared" si="7"/>
      </c>
      <c r="R10" s="68">
        <f t="shared" si="8"/>
      </c>
      <c r="S10" s="1">
        <f t="shared" si="2"/>
      </c>
      <c r="T10" s="1">
        <f t="shared" si="10"/>
      </c>
    </row>
    <row r="11" spans="1:20" ht="12.75">
      <c r="A11" s="63"/>
      <c r="B11" s="63"/>
      <c r="C11" s="63"/>
      <c r="E11" s="30"/>
      <c r="F11" s="30"/>
      <c r="G11" s="30"/>
      <c r="H11" s="13"/>
      <c r="I11" s="68">
        <f t="shared" si="0"/>
      </c>
      <c r="J11" s="57">
        <f t="shared" si="1"/>
      </c>
      <c r="L11" s="68">
        <f t="shared" si="9"/>
      </c>
      <c r="M11" s="68">
        <f t="shared" si="3"/>
      </c>
      <c r="N11" s="68">
        <f t="shared" si="4"/>
      </c>
      <c r="O11" s="68">
        <f t="shared" si="5"/>
      </c>
      <c r="P11" s="68">
        <f t="shared" si="6"/>
      </c>
      <c r="Q11" s="68">
        <f t="shared" si="7"/>
      </c>
      <c r="R11" s="68">
        <f t="shared" si="8"/>
      </c>
      <c r="S11" s="1">
        <f t="shared" si="2"/>
      </c>
      <c r="T11" s="1">
        <f t="shared" si="10"/>
      </c>
    </row>
    <row r="12" spans="1:20" ht="12.75">
      <c r="A12" s="63"/>
      <c r="B12" s="63"/>
      <c r="C12" s="63"/>
      <c r="E12" s="30"/>
      <c r="F12" s="30"/>
      <c r="G12" s="30"/>
      <c r="H12" s="13"/>
      <c r="I12" s="68">
        <f t="shared" si="0"/>
      </c>
      <c r="J12" s="57">
        <f t="shared" si="1"/>
      </c>
      <c r="L12" s="68">
        <f t="shared" si="9"/>
      </c>
      <c r="M12" s="68">
        <f t="shared" si="3"/>
      </c>
      <c r="N12" s="68">
        <f t="shared" si="4"/>
      </c>
      <c r="O12" s="68">
        <f t="shared" si="5"/>
      </c>
      <c r="P12" s="68">
        <f t="shared" si="6"/>
      </c>
      <c r="Q12" s="68">
        <f t="shared" si="7"/>
      </c>
      <c r="R12" s="68">
        <f t="shared" si="8"/>
      </c>
      <c r="S12" s="1">
        <f t="shared" si="2"/>
      </c>
      <c r="T12" s="1">
        <f t="shared" si="10"/>
      </c>
    </row>
    <row r="13" spans="1:20" ht="12.75">
      <c r="A13" s="63"/>
      <c r="B13" s="63"/>
      <c r="C13" s="63"/>
      <c r="E13" s="30"/>
      <c r="F13" s="30"/>
      <c r="G13" s="30"/>
      <c r="H13" s="13"/>
      <c r="I13" s="68">
        <f t="shared" si="0"/>
      </c>
      <c r="J13" s="57">
        <f t="shared" si="1"/>
      </c>
      <c r="L13" s="68">
        <f t="shared" si="9"/>
      </c>
      <c r="M13" s="68">
        <f t="shared" si="3"/>
      </c>
      <c r="N13" s="68">
        <f t="shared" si="4"/>
      </c>
      <c r="O13" s="68">
        <f t="shared" si="5"/>
      </c>
      <c r="P13" s="68">
        <f t="shared" si="6"/>
      </c>
      <c r="Q13" s="68">
        <f t="shared" si="7"/>
      </c>
      <c r="R13" s="68">
        <f t="shared" si="8"/>
      </c>
      <c r="S13" s="1">
        <f t="shared" si="2"/>
      </c>
      <c r="T13" s="1">
        <f t="shared" si="10"/>
      </c>
    </row>
    <row r="14" spans="1:20" ht="12.75">
      <c r="A14" s="63"/>
      <c r="B14" s="63"/>
      <c r="C14" s="63"/>
      <c r="E14" s="30"/>
      <c r="F14" s="30"/>
      <c r="G14" s="30"/>
      <c r="H14" s="13"/>
      <c r="I14" s="68">
        <f t="shared" si="0"/>
      </c>
      <c r="J14" s="57">
        <f t="shared" si="1"/>
      </c>
      <c r="L14" s="68">
        <f t="shared" si="9"/>
      </c>
      <c r="M14" s="68">
        <f t="shared" si="3"/>
      </c>
      <c r="N14" s="68">
        <f t="shared" si="4"/>
      </c>
      <c r="O14" s="68">
        <f t="shared" si="5"/>
      </c>
      <c r="P14" s="68">
        <f t="shared" si="6"/>
      </c>
      <c r="Q14" s="68">
        <f t="shared" si="7"/>
      </c>
      <c r="R14" s="68">
        <f t="shared" si="8"/>
      </c>
      <c r="S14" s="1">
        <f t="shared" si="2"/>
      </c>
      <c r="T14" s="1">
        <f t="shared" si="10"/>
      </c>
    </row>
    <row r="15" spans="1:20" ht="12.75">
      <c r="A15" s="63"/>
      <c r="B15" s="63"/>
      <c r="C15" s="63"/>
      <c r="E15" s="30"/>
      <c r="F15" s="30"/>
      <c r="G15" s="30"/>
      <c r="H15" s="13"/>
      <c r="I15" s="68">
        <f t="shared" si="0"/>
      </c>
      <c r="J15" s="57">
        <f t="shared" si="1"/>
      </c>
      <c r="L15" s="68">
        <f t="shared" si="9"/>
      </c>
      <c r="M15" s="68">
        <f t="shared" si="3"/>
      </c>
      <c r="N15" s="68">
        <f t="shared" si="4"/>
      </c>
      <c r="O15" s="68">
        <f t="shared" si="5"/>
      </c>
      <c r="P15" s="68">
        <f t="shared" si="6"/>
      </c>
      <c r="Q15" s="68">
        <f t="shared" si="7"/>
      </c>
      <c r="R15" s="68">
        <f t="shared" si="8"/>
      </c>
      <c r="S15" s="1">
        <f t="shared" si="2"/>
      </c>
      <c r="T15" s="1">
        <f t="shared" si="10"/>
      </c>
    </row>
    <row r="16" spans="1:20" ht="12.75">
      <c r="A16" s="63"/>
      <c r="B16" s="63"/>
      <c r="C16" s="63"/>
      <c r="E16" s="30"/>
      <c r="F16" s="30"/>
      <c r="G16" s="30"/>
      <c r="H16" s="13"/>
      <c r="I16" s="68">
        <f t="shared" si="0"/>
      </c>
      <c r="J16" s="57">
        <f t="shared" si="1"/>
      </c>
      <c r="L16" s="68">
        <f t="shared" si="9"/>
      </c>
      <c r="M16" s="68">
        <f t="shared" si="3"/>
      </c>
      <c r="N16" s="68">
        <f t="shared" si="4"/>
      </c>
      <c r="O16" s="68">
        <f t="shared" si="5"/>
      </c>
      <c r="P16" s="68">
        <f t="shared" si="6"/>
      </c>
      <c r="Q16" s="68">
        <f t="shared" si="7"/>
      </c>
      <c r="R16" s="68">
        <f t="shared" si="8"/>
      </c>
      <c r="S16" s="1">
        <f t="shared" si="2"/>
      </c>
      <c r="T16" s="1">
        <f t="shared" si="10"/>
      </c>
    </row>
    <row r="17" spans="1:18" ht="12.75">
      <c r="A17" s="63"/>
      <c r="B17" s="63"/>
      <c r="C17" s="63"/>
      <c r="E17" s="61" t="s">
        <v>123</v>
      </c>
      <c r="H17" s="69" t="s">
        <v>44</v>
      </c>
      <c r="I17" s="70">
        <f>SUM(I3:I16)</f>
        <v>5</v>
      </c>
      <c r="L17" s="68" t="e">
        <f aca="true" t="shared" si="11" ref="L17:R17">SUM(L3:L16)</f>
        <v>#VALUE!</v>
      </c>
      <c r="M17" s="68" t="e">
        <f t="shared" si="11"/>
        <v>#VALUE!</v>
      </c>
      <c r="N17" s="68" t="e">
        <f t="shared" si="11"/>
        <v>#VALUE!</v>
      </c>
      <c r="O17" s="68" t="e">
        <f t="shared" si="11"/>
        <v>#VALUE!</v>
      </c>
      <c r="P17" s="68" t="e">
        <f t="shared" si="11"/>
        <v>#VALUE!</v>
      </c>
      <c r="Q17" s="68" t="e">
        <f t="shared" si="11"/>
        <v>#VALUE!</v>
      </c>
      <c r="R17" s="68" t="e">
        <f t="shared" si="11"/>
        <v>#VALUE!</v>
      </c>
    </row>
    <row r="18" spans="1:10" ht="12.75">
      <c r="A18" s="63"/>
      <c r="B18" s="63"/>
      <c r="C18" s="63"/>
      <c r="E18" s="61" t="s">
        <v>124</v>
      </c>
      <c r="H18" s="71" t="s">
        <v>125</v>
      </c>
      <c r="I18" s="70">
        <f>IF(ISERROR(FIND("Adept",F21)),0,F22)-I17</f>
        <v>0</v>
      </c>
      <c r="J18" s="72"/>
    </row>
    <row r="19" spans="1:3" ht="12.75">
      <c r="A19" s="63"/>
      <c r="B19" s="63"/>
      <c r="C19" s="63"/>
    </row>
    <row r="20" spans="1:9" ht="12.75">
      <c r="A20" s="28" t="s">
        <v>126</v>
      </c>
      <c r="B20" s="12"/>
      <c r="C20" s="12"/>
      <c r="D20" s="1"/>
      <c r="I20" s="5" t="s">
        <v>127</v>
      </c>
    </row>
    <row r="21" spans="1:14" ht="12.75">
      <c r="A21" s="73" t="s">
        <v>128</v>
      </c>
      <c r="B21" s="74"/>
      <c r="C21" s="65" t="s">
        <v>129</v>
      </c>
      <c r="D21" s="1"/>
      <c r="E21" s="19" t="s">
        <v>130</v>
      </c>
      <c r="F21" s="75" t="str">
        <f>Main_Sheet!B2</f>
        <v>Adept</v>
      </c>
      <c r="G21" s="75"/>
      <c r="I21" s="66" t="s">
        <v>131</v>
      </c>
      <c r="J21" s="66" t="s">
        <v>132</v>
      </c>
      <c r="K21" s="65" t="s">
        <v>133</v>
      </c>
      <c r="L21" s="65"/>
      <c r="M21" s="65" t="s">
        <v>134</v>
      </c>
      <c r="N21" s="65"/>
    </row>
    <row r="22" spans="1:14" ht="12.75">
      <c r="A22" s="50"/>
      <c r="B22" s="50"/>
      <c r="C22" s="76"/>
      <c r="D22" s="1"/>
      <c r="E22" s="19" t="s">
        <v>135</v>
      </c>
      <c r="F22" s="77">
        <f>Main_Sheet!O11</f>
        <v>5</v>
      </c>
      <c r="I22" s="3"/>
      <c r="J22" s="50"/>
      <c r="K22" s="78">
        <f aca="true" t="shared" si="12" ref="K22:K27">IF(J22="","",(VLOOKUP(J22,Complete_Foci_Type_Table,2,FALSE))*(IF(I22="",1,I22)))</f>
      </c>
      <c r="L22" s="78"/>
      <c r="M22" s="78">
        <f aca="true" t="shared" si="13" ref="M22:M27">IF(J22="","",(VLOOKUP(J22,Complete_Foci_Type_Table,3,FALSE))*(IF(I22="",1,I22)))</f>
      </c>
      <c r="N22" s="78"/>
    </row>
    <row r="23" spans="1:14" ht="12.75">
      <c r="A23" s="50"/>
      <c r="B23" s="50"/>
      <c r="C23" s="76"/>
      <c r="D23" s="1"/>
      <c r="I23" s="3"/>
      <c r="J23" s="50"/>
      <c r="K23" s="78">
        <f t="shared" si="12"/>
      </c>
      <c r="L23" s="78"/>
      <c r="M23" s="78">
        <f t="shared" si="13"/>
      </c>
      <c r="N23" s="78"/>
    </row>
    <row r="24" spans="1:14" ht="12.75">
      <c r="A24" s="50"/>
      <c r="B24" s="50"/>
      <c r="C24" s="76"/>
      <c r="D24" s="1"/>
      <c r="E24" s="19" t="s">
        <v>136</v>
      </c>
      <c r="F24" s="24">
        <f>IF(OR(F21="Magician",F21="Mystic Adept"),2*MAX(IF(ISERROR(VLOOKUP("Spellcasting",Main_Sheet!A18:D46,4,FALSE)),0,VLOOKUP("Spellcasting",Main_Sheet!A18:D46,4,FALSE)),IF(ISERROR(VLOOKUP("Ritual Spellcasting",Main_Sheet!A18:D46,4,FALSE)),0,VLOOKUP("Ritual Spellcasting",Main_Sheet!A18:D46,4,FALSE)),IF(ISERROR(VLOOKUP("Sorcery (Group)",Main_Sheet!A18:D46,4,FALSE)),0,VLOOKUP("Sorcery (Group)",Main_Sheet!A18:D46,4,FALSE))),0)</f>
        <v>0</v>
      </c>
      <c r="I24" s="3"/>
      <c r="J24" s="50"/>
      <c r="K24" s="78">
        <f t="shared" si="12"/>
      </c>
      <c r="L24" s="78"/>
      <c r="M24" s="78">
        <f t="shared" si="13"/>
      </c>
      <c r="N24" s="78"/>
    </row>
    <row r="25" spans="1:14" ht="12.75">
      <c r="A25" s="50"/>
      <c r="B25" s="50"/>
      <c r="C25" s="76"/>
      <c r="D25" s="1"/>
      <c r="E25" s="19" t="s">
        <v>137</v>
      </c>
      <c r="F25" s="14">
        <f>COUNTA(Magic!A2:A19)</f>
        <v>0</v>
      </c>
      <c r="I25" s="3"/>
      <c r="J25" s="50"/>
      <c r="K25" s="78">
        <f t="shared" si="12"/>
      </c>
      <c r="L25" s="78"/>
      <c r="M25" s="78">
        <f t="shared" si="13"/>
      </c>
      <c r="N25" s="78"/>
    </row>
    <row r="26" spans="1:14" ht="12.75">
      <c r="A26" s="50"/>
      <c r="B26" s="50"/>
      <c r="C26" s="76"/>
      <c r="D26" s="1"/>
      <c r="I26" s="3"/>
      <c r="J26" s="50"/>
      <c r="K26" s="78">
        <f t="shared" si="12"/>
      </c>
      <c r="L26" s="78"/>
      <c r="M26" s="78">
        <f t="shared" si="13"/>
      </c>
      <c r="N26" s="78"/>
    </row>
    <row r="27" spans="1:14" ht="12.75">
      <c r="A27" s="50"/>
      <c r="B27" s="50"/>
      <c r="C27" s="76"/>
      <c r="D27" s="1"/>
      <c r="E27" s="19" t="s">
        <v>138</v>
      </c>
      <c r="F27" s="1">
        <f>IF(OR(F21="Magician",F21="Mystic Adept"),Main_Sheet!L6,0)</f>
        <v>0</v>
      </c>
      <c r="I27" s="3"/>
      <c r="J27" s="50"/>
      <c r="K27" s="78">
        <f t="shared" si="12"/>
      </c>
      <c r="L27" s="78"/>
      <c r="M27" s="78">
        <f t="shared" si="13"/>
      </c>
      <c r="N27" s="78"/>
    </row>
    <row r="28" spans="1:6" ht="12.75">
      <c r="A28" s="50"/>
      <c r="B28" s="50"/>
      <c r="C28" s="76"/>
      <c r="D28" s="1"/>
      <c r="E28" s="19" t="s">
        <v>139</v>
      </c>
      <c r="F28" s="1">
        <f>MAX(IF(ISERROR(VLOOKUP("Summoning",Main_Sheet!A18:D46,4,FALSE)),0,VLOOKUP("Summoning",Main_Sheet!A18:D46,4,FALSE)),IF(ISERROR(VLOOKUP("Conjuring (Group)",Main_Sheet!A18:D46,4,FALSE)),0,VLOOKUP("Conjuring (Group)",Main_Sheet!A18:D46,4,FALSE)))</f>
        <v>0</v>
      </c>
    </row>
    <row r="29" spans="1:4" ht="12.75">
      <c r="A29" s="50"/>
      <c r="B29" s="50"/>
      <c r="C29" s="76"/>
      <c r="D29" s="1"/>
    </row>
    <row r="30" spans="1:3" ht="12.75">
      <c r="A30" s="50"/>
      <c r="B30" s="50"/>
      <c r="C30" s="76"/>
    </row>
    <row r="32" ht="12.75"/>
    <row r="33" ht="12.75"/>
    <row r="35" ht="12.75"/>
    <row r="36" ht="12.75"/>
    <row r="37" ht="12.75"/>
    <row r="38" ht="12.75"/>
  </sheetData>
  <sheetProtection sheet="1" objects="1" scenarios="1"/>
  <mergeCells count="57">
    <mergeCell ref="A2:C2"/>
    <mergeCell ref="E2:G2"/>
    <mergeCell ref="A3:C3"/>
    <mergeCell ref="E3:G3"/>
    <mergeCell ref="A4:C4"/>
    <mergeCell ref="E4:G4"/>
    <mergeCell ref="A5:C5"/>
    <mergeCell ref="E5:G5"/>
    <mergeCell ref="A6:C6"/>
    <mergeCell ref="E6:G6"/>
    <mergeCell ref="A7:C7"/>
    <mergeCell ref="E7:G7"/>
    <mergeCell ref="A8:C8"/>
    <mergeCell ref="E8:G8"/>
    <mergeCell ref="A9:C9"/>
    <mergeCell ref="E9:G9"/>
    <mergeCell ref="A10:C10"/>
    <mergeCell ref="E10:G10"/>
    <mergeCell ref="A11:C11"/>
    <mergeCell ref="E11:G11"/>
    <mergeCell ref="A12:C12"/>
    <mergeCell ref="E12:G12"/>
    <mergeCell ref="A13:C13"/>
    <mergeCell ref="E13:G13"/>
    <mergeCell ref="A14:C14"/>
    <mergeCell ref="E14:G14"/>
    <mergeCell ref="A15:C15"/>
    <mergeCell ref="E15:G15"/>
    <mergeCell ref="A16:C16"/>
    <mergeCell ref="E16:G16"/>
    <mergeCell ref="A17:C17"/>
    <mergeCell ref="A18:C18"/>
    <mergeCell ref="A19:C19"/>
    <mergeCell ref="F21:G21"/>
    <mergeCell ref="K21:L21"/>
    <mergeCell ref="M21:N21"/>
    <mergeCell ref="A22:B22"/>
    <mergeCell ref="K22:L22"/>
    <mergeCell ref="M22:N22"/>
    <mergeCell ref="A23:B23"/>
    <mergeCell ref="K23:L23"/>
    <mergeCell ref="M23:N23"/>
    <mergeCell ref="A24:B24"/>
    <mergeCell ref="K24:L24"/>
    <mergeCell ref="M24:N24"/>
    <mergeCell ref="A25:B25"/>
    <mergeCell ref="K25:L25"/>
    <mergeCell ref="M25:N25"/>
    <mergeCell ref="A26:B26"/>
    <mergeCell ref="K26:L26"/>
    <mergeCell ref="M26:N26"/>
    <mergeCell ref="A27:B27"/>
    <mergeCell ref="K27:L27"/>
    <mergeCell ref="M27:N27"/>
    <mergeCell ref="A28:B28"/>
    <mergeCell ref="A29:B29"/>
    <mergeCell ref="A30:B30"/>
  </mergeCells>
  <conditionalFormatting sqref="F21:G21">
    <cfRule type="expression" priority="1" dxfId="3" stopIfTrue="1">
      <formula>OR($F$21="None",$F$21="Technomancer")</formula>
    </cfRule>
  </conditionalFormatting>
  <conditionalFormatting sqref="F25">
    <cfRule type="cellIs" priority="2" dxfId="3" operator="greaterThan" stopIfTrue="1">
      <formula>$F$24</formula>
    </cfRule>
  </conditionalFormatting>
  <conditionalFormatting sqref="I18">
    <cfRule type="cellIs" priority="3" dxfId="3" operator="lessThan" stopIfTrue="1">
      <formula>0</formula>
    </cfRule>
  </conditionalFormatting>
  <conditionalFormatting sqref="C22:C30">
    <cfRule type="expression" priority="4" dxfId="8" stopIfTrue="1">
      <formula>AND(Max_Bound_Spirits&lt;(ROW()-ROW(Top_Row_Bound_Spirits)+1),C22&lt;&gt;"")</formula>
    </cfRule>
    <cfRule type="expression" priority="5" dxfId="9" stopIfTrue="1">
      <formula>Max_Bound_Spirits&lt;(ROW()-ROW(Top_Row_Bound_Spirits)+1)</formula>
    </cfRule>
    <cfRule type="cellIs" priority="6" dxfId="3" operator="greaterThan" stopIfTrue="1">
      <formula>Max_Spirit_Services</formula>
    </cfRule>
  </conditionalFormatting>
  <conditionalFormatting sqref="A22:B30">
    <cfRule type="expression" priority="7" dxfId="8" stopIfTrue="1">
      <formula>AND(Max_Bound_Spirits&lt;(ROW()-ROW(Top_Row_Bound_Spirits)+1),A22&lt;&gt;"")</formula>
    </cfRule>
    <cfRule type="expression" priority="8" dxfId="9" stopIfTrue="1">
      <formula>Max_Bound_Spirits&lt;(ROW()-ROW(Top_Row_Bound_Spirits)+1)</formula>
    </cfRule>
  </conditionalFormatting>
  <conditionalFormatting sqref="J22:J27 M22:N27">
    <cfRule type="expression" priority="9" dxfId="8" stopIfTrue="1">
      <formula>AND($F$22&lt;(ROW()-ROW(Top_Row_Bound_Foci)+1),J22&lt;&gt;"")</formula>
    </cfRule>
    <cfRule type="expression" priority="10" dxfId="9" stopIfTrue="1">
      <formula>$F$22&lt;(ROW()-ROW(Top_Row_Bound_Foci)+1)</formula>
    </cfRule>
  </conditionalFormatting>
  <conditionalFormatting sqref="K22:L27">
    <cfRule type="expression" priority="11" dxfId="8" stopIfTrue="1">
      <formula>AND($F$22&lt;(ROW()-ROW(Top_Row_Bound_Foci)+1),K22&lt;&gt;"")</formula>
    </cfRule>
    <cfRule type="expression" priority="12" dxfId="9" stopIfTrue="1">
      <formula>$F$22&lt;(ROW()-ROW(Top_Row_Bound_Foci)+1)</formula>
    </cfRule>
    <cfRule type="expression" priority="13" dxfId="3" stopIfTrue="1">
      <formula>N(K22)&gt;12</formula>
    </cfRule>
  </conditionalFormatting>
  <conditionalFormatting sqref="I22:I27">
    <cfRule type="expression" priority="14" dxfId="8" stopIfTrue="1">
      <formula>AND($F$22&lt;(ROW()-ROW(Top_Row_Bound_Foci)+1),I22&lt;&gt;"")</formula>
    </cfRule>
    <cfRule type="expression" priority="15" dxfId="9" stopIfTrue="1">
      <formula>$F$22&lt;(ROW()-ROW(Top_Row_Bound_Foci)+1)</formula>
    </cfRule>
    <cfRule type="expression" priority="16" dxfId="3" stopIfTrue="1">
      <formula>N(K22)&gt;12</formula>
    </cfRule>
  </conditionalFormatting>
  <conditionalFormatting sqref="H3:H16">
    <cfRule type="cellIs" priority="17" dxfId="3" operator="greaterThan" stopIfTrue="1">
      <formula>MIN($F$22,IF($T3="",999,VLOOKUP($T3,Complete_Adept_Powers_Table,16,FALSE)))</formula>
    </cfRule>
    <cfRule type="expression" priority="18" dxfId="10" stopIfTrue="1">
      <formula>IF(IF($T3="",999,VLOOKUP($T3,Complete_Adept_Powers_Table,16,FALSE))=1,TRUE,FALSE)</formula>
    </cfRule>
  </conditionalFormatting>
  <dataValidations count="8">
    <dataValidation type="list" allowBlank="1" sqref="E3:G16">
      <formula1>Adept</formula1>
      <formula2>0</formula2>
    </dataValidation>
    <dataValidation type="list" allowBlank="1" sqref="A2:A19">
      <formula1>Spells</formula1>
      <formula2>0</formula2>
    </dataValidation>
    <dataValidation type="list" allowBlank="1" showErrorMessage="1" sqref="A22:B30">
      <formula1>Spirit_Types</formula1>
      <formula2>0</formula2>
    </dataValidation>
    <dataValidation type="whole" allowBlank="1" showErrorMessage="1" errorTitle="Invalid number of Services" error="You must enter a number of sevices owed between 1 and the Maximum Spirit Services, listed to the right of this table, inclusively. The maximum services any spirit can owe at character creation is based on the Summoning skill." sqref="C22:C30">
      <formula1>1</formula1>
      <formula2>Max_Spirit_Services</formula2>
    </dataValidation>
    <dataValidation type="list" allowBlank="1" showErrorMessage="1" errorTitle="Invalid number of Services" error="You must enter a number of sevices owed between 1 and the Maximum Spirit Services, listed to the right of this table, inclusively. The maximum services any spirit can owe at character creation is based on the Summoning skill." sqref="I22:I27">
      <formula1>Rating</formula1>
      <formula2>0</formula2>
    </dataValidation>
    <dataValidation type="list" allowBlank="1" showErrorMessage="1" errorTitle="Invalid number of Services" error="You must enter a number of sevices owed between 1 and the Maximum Spirit Services, listed to the right of this table, inclusively. The maximum services any spirit can owe at character creation is based on the Summoning skill." sqref="J22:J27">
      <formula1>Foci_Type</formula1>
      <formula2>0</formula2>
    </dataValidation>
    <dataValidation type="whole" allowBlank="1" showErrorMessage="1" errorTitle="Invalid Level" error="You must choose a value between 1 and your Magic rating, inclusive, or leave this blank for Powers that do not have multiple levels." sqref="H3">
      <formula1>1</formula1>
      <formula2>$F$22</formula2>
    </dataValidation>
    <dataValidation type="whole" allowBlank="1" showErrorMessage="1" errorTitle="Invalid Level" error="You must choose a value between 1 and your Magic rating, inclusive, or leave this blank for Powers that do not have multiple levels." sqref="H4:H16">
      <formula1>1</formula1>
      <formula2>MIN($F$22,IF($T4="",999,VLOOKUP($T4,Complete_Adept_Powers_Table,16,FALSE)))</formula2>
    </dataValidation>
  </dataValidations>
  <printOptions/>
  <pageMargins left="0.7479166666666667" right="0.7479166666666667" top="0.9840277777777778" bottom="0.9840277777777778" header="0.5118055555555556" footer="0.5118055555555556"/>
  <pageSetup fitToHeight="1" fitToWidth="1" horizontalDpi="300" verticalDpi="300" orientation="landscape"/>
  <legacyDrawing r:id="rId2"/>
</worksheet>
</file>

<file path=xl/worksheets/sheet3.xml><?xml version="1.0" encoding="utf-8"?>
<worksheet xmlns="http://schemas.openxmlformats.org/spreadsheetml/2006/main" xmlns:r="http://schemas.openxmlformats.org/officeDocument/2006/relationships">
  <sheetPr codeName="Sheet3"/>
  <dimension ref="A1:P76"/>
  <sheetViews>
    <sheetView showGridLines="0" workbookViewId="0" topLeftCell="A1">
      <selection activeCell="A1" sqref="A1"/>
    </sheetView>
  </sheetViews>
  <sheetFormatPr defaultColWidth="9.140625" defaultRowHeight="12.75"/>
  <cols>
    <col min="1" max="1" width="28.28125" style="79" customWidth="1"/>
    <col min="2" max="2" width="12.57421875" style="79" customWidth="1"/>
    <col min="3" max="3" width="37.140625" style="79" customWidth="1"/>
    <col min="4" max="4" width="4.00390625" style="79" customWidth="1"/>
    <col min="5" max="5" width="4.57421875" style="79" customWidth="1"/>
    <col min="6" max="6" width="4.00390625" style="79" customWidth="1"/>
    <col min="7" max="7" width="4.57421875" style="79" customWidth="1"/>
    <col min="8" max="8" width="3.57421875" style="79" customWidth="1"/>
    <col min="9" max="9" width="4.57421875" style="79" customWidth="1"/>
    <col min="10" max="10" width="3.28125" style="79" customWidth="1"/>
    <col min="11" max="11" width="4.421875" style="79" customWidth="1"/>
    <col min="12" max="12" width="4.57421875" style="79" customWidth="1"/>
    <col min="13" max="13" width="4.00390625" style="79" customWidth="1"/>
    <col min="14" max="14" width="4.421875" style="79" customWidth="1"/>
    <col min="15" max="15" width="4.00390625" style="79" customWidth="1"/>
    <col min="16" max="16" width="10.140625" style="79" customWidth="1"/>
    <col min="17" max="16384" width="9.140625" style="79" customWidth="1"/>
  </cols>
  <sheetData>
    <row r="1" spans="1:16" ht="12.75">
      <c r="A1" s="67" t="s">
        <v>105</v>
      </c>
      <c r="B1" s="67" t="s">
        <v>140</v>
      </c>
      <c r="C1" s="67" t="s">
        <v>141</v>
      </c>
      <c r="D1" s="67"/>
      <c r="E1" s="80" t="s">
        <v>108</v>
      </c>
      <c r="F1" s="81" t="s">
        <v>109</v>
      </c>
      <c r="G1" s="81" t="s">
        <v>110</v>
      </c>
      <c r="H1" s="81" t="s">
        <v>111</v>
      </c>
      <c r="I1" s="81" t="s">
        <v>142</v>
      </c>
      <c r="J1" s="81" t="s">
        <v>143</v>
      </c>
      <c r="K1" s="81" t="s">
        <v>144</v>
      </c>
      <c r="L1" s="81" t="s">
        <v>145</v>
      </c>
      <c r="M1" s="82" t="s">
        <v>112</v>
      </c>
      <c r="N1" s="81" t="s">
        <v>113</v>
      </c>
      <c r="O1" s="81" t="s">
        <v>114</v>
      </c>
      <c r="P1" s="83" t="s">
        <v>146</v>
      </c>
    </row>
    <row r="2" spans="1:16" ht="12.75">
      <c r="A2" s="84" t="s">
        <v>147</v>
      </c>
      <c r="B2" s="79">
        <v>1</v>
      </c>
      <c r="C2" s="79" t="s">
        <v>148</v>
      </c>
      <c r="P2" s="79">
        <v>999</v>
      </c>
    </row>
    <row r="3" spans="1:16" ht="12.75">
      <c r="A3" s="84" t="s">
        <v>149</v>
      </c>
      <c r="B3" s="79">
        <v>0.25</v>
      </c>
      <c r="C3" s="79" t="s">
        <v>150</v>
      </c>
      <c r="P3" s="79">
        <v>999</v>
      </c>
    </row>
    <row r="4" spans="1:16" ht="12.75">
      <c r="A4" s="84" t="s">
        <v>151</v>
      </c>
      <c r="B4" s="79">
        <v>0.25</v>
      </c>
      <c r="C4" s="79" t="s">
        <v>152</v>
      </c>
      <c r="P4" s="79">
        <v>999</v>
      </c>
    </row>
    <row r="5" spans="1:16" ht="12.75">
      <c r="A5" s="84" t="s">
        <v>153</v>
      </c>
      <c r="B5" s="79">
        <v>1</v>
      </c>
      <c r="C5" s="79" t="s">
        <v>154</v>
      </c>
      <c r="P5" s="79">
        <v>1</v>
      </c>
    </row>
    <row r="6" spans="1:16" ht="12.75">
      <c r="A6" s="84" t="s">
        <v>155</v>
      </c>
      <c r="B6" s="79">
        <v>0.25</v>
      </c>
      <c r="C6" s="79" t="s">
        <v>156</v>
      </c>
      <c r="P6" s="79">
        <v>999</v>
      </c>
    </row>
    <row r="7" spans="1:16" ht="12.75">
      <c r="A7" s="84" t="s">
        <v>157</v>
      </c>
      <c r="B7" s="79">
        <v>1</v>
      </c>
      <c r="C7" s="79" t="s">
        <v>158</v>
      </c>
      <c r="P7" s="79">
        <v>1</v>
      </c>
    </row>
    <row r="8" spans="1:16" ht="12.75">
      <c r="A8" s="84" t="s">
        <v>159</v>
      </c>
      <c r="B8" s="79">
        <v>0.5</v>
      </c>
      <c r="C8" s="79" t="s">
        <v>160</v>
      </c>
      <c r="P8" s="79">
        <v>1</v>
      </c>
    </row>
    <row r="9" spans="1:16" ht="12.75">
      <c r="A9" s="84" t="s">
        <v>161</v>
      </c>
      <c r="B9" s="79">
        <v>0.25</v>
      </c>
      <c r="C9" s="79" t="s">
        <v>162</v>
      </c>
      <c r="P9" s="79">
        <v>999</v>
      </c>
    </row>
    <row r="10" spans="1:16" ht="12.75">
      <c r="A10" s="84" t="s">
        <v>119</v>
      </c>
      <c r="B10" s="79">
        <v>0.5</v>
      </c>
      <c r="C10" s="79" t="s">
        <v>163</v>
      </c>
      <c r="P10" s="79">
        <v>999</v>
      </c>
    </row>
    <row r="11" spans="1:16" ht="12.75">
      <c r="A11" s="84" t="s">
        <v>120</v>
      </c>
      <c r="B11" s="79">
        <v>0.25</v>
      </c>
      <c r="C11" s="79" t="s">
        <v>164</v>
      </c>
      <c r="P11" s="79">
        <v>1</v>
      </c>
    </row>
    <row r="12" spans="1:16" ht="12.75">
      <c r="A12" s="84" t="s">
        <v>165</v>
      </c>
      <c r="B12" s="79">
        <v>0.25</v>
      </c>
      <c r="C12" s="79" t="s">
        <v>166</v>
      </c>
      <c r="P12" s="79">
        <v>999</v>
      </c>
    </row>
    <row r="13" spans="1:16" ht="12.75">
      <c r="A13" s="84" t="s">
        <v>167</v>
      </c>
      <c r="B13" s="79">
        <v>0.5</v>
      </c>
      <c r="C13" s="79" t="s">
        <v>168</v>
      </c>
      <c r="P13" s="79">
        <v>1</v>
      </c>
    </row>
    <row r="14" spans="1:16" ht="12.75">
      <c r="A14" s="84" t="s">
        <v>169</v>
      </c>
      <c r="B14" s="79">
        <v>0.25</v>
      </c>
      <c r="C14" s="79" t="s">
        <v>170</v>
      </c>
      <c r="P14" s="79">
        <v>999</v>
      </c>
    </row>
    <row r="15" spans="1:16" ht="12.75">
      <c r="A15" s="84" t="s">
        <v>171</v>
      </c>
      <c r="B15" s="79">
        <v>2</v>
      </c>
      <c r="C15" s="79" t="s">
        <v>172</v>
      </c>
      <c r="P15" s="79">
        <v>1</v>
      </c>
    </row>
    <row r="16" spans="1:16" ht="12.75">
      <c r="A16" s="84" t="s">
        <v>173</v>
      </c>
      <c r="B16" s="79">
        <v>0.5</v>
      </c>
      <c r="C16" s="79" t="s">
        <v>174</v>
      </c>
      <c r="P16" s="79">
        <v>1</v>
      </c>
    </row>
    <row r="17" spans="1:16" ht="12.75">
      <c r="A17" s="84" t="s">
        <v>175</v>
      </c>
      <c r="B17" s="79">
        <v>0.5</v>
      </c>
      <c r="C17" s="79" t="s">
        <v>176</v>
      </c>
      <c r="P17" s="79">
        <v>1</v>
      </c>
    </row>
    <row r="18" spans="1:16" ht="12.75">
      <c r="A18" s="84" t="s">
        <v>177</v>
      </c>
      <c r="B18" s="79">
        <v>0.5</v>
      </c>
      <c r="C18" s="79" t="s">
        <v>178</v>
      </c>
      <c r="P18" s="79">
        <v>1</v>
      </c>
    </row>
    <row r="19" spans="1:16" ht="12.75">
      <c r="A19" s="84" t="s">
        <v>179</v>
      </c>
      <c r="B19" s="79">
        <v>0.25</v>
      </c>
      <c r="C19" s="79" t="s">
        <v>180</v>
      </c>
      <c r="P19" s="79">
        <v>999</v>
      </c>
    </row>
    <row r="20" spans="1:16" ht="12.75">
      <c r="A20" s="84" t="s">
        <v>181</v>
      </c>
      <c r="B20" s="79">
        <v>0.5</v>
      </c>
      <c r="C20" s="79" t="s">
        <v>182</v>
      </c>
      <c r="P20" s="79">
        <v>1</v>
      </c>
    </row>
    <row r="21" spans="1:16" ht="12.75">
      <c r="A21" s="84" t="s">
        <v>183</v>
      </c>
      <c r="B21" s="79">
        <v>0.25</v>
      </c>
      <c r="C21" s="79" t="s">
        <v>184</v>
      </c>
      <c r="P21" s="79">
        <v>999</v>
      </c>
    </row>
    <row r="22" spans="1:16" ht="12.75">
      <c r="A22" s="84" t="s">
        <v>185</v>
      </c>
      <c r="B22" s="79">
        <v>0.25</v>
      </c>
      <c r="C22" s="79" t="s">
        <v>186</v>
      </c>
      <c r="P22" s="79">
        <v>999</v>
      </c>
    </row>
    <row r="23" spans="1:16" ht="12.75">
      <c r="A23" s="84" t="s">
        <v>187</v>
      </c>
      <c r="B23" s="79">
        <v>0.25</v>
      </c>
      <c r="C23" s="79" t="s">
        <v>188</v>
      </c>
      <c r="P23" s="79">
        <v>999</v>
      </c>
    </row>
    <row r="24" spans="1:16" ht="12.75">
      <c r="A24" s="84" t="s">
        <v>189</v>
      </c>
      <c r="B24" s="79">
        <v>1</v>
      </c>
      <c r="C24" s="79" t="s">
        <v>190</v>
      </c>
      <c r="P24" s="79">
        <v>1</v>
      </c>
    </row>
    <row r="25" spans="1:16" ht="12.75">
      <c r="A25" s="84" t="s">
        <v>191</v>
      </c>
      <c r="B25" s="79">
        <v>0.25</v>
      </c>
      <c r="C25" s="79" t="s">
        <v>192</v>
      </c>
      <c r="P25" s="79">
        <v>999</v>
      </c>
    </row>
    <row r="26" spans="1:16" ht="12.75">
      <c r="A26" s="84" t="s">
        <v>193</v>
      </c>
      <c r="B26" s="79">
        <v>0.5</v>
      </c>
      <c r="C26" s="79" t="s">
        <v>194</v>
      </c>
      <c r="P26" s="79">
        <v>3</v>
      </c>
    </row>
    <row r="27" spans="1:16" ht="12.75">
      <c r="A27" s="84" t="s">
        <v>195</v>
      </c>
      <c r="B27" s="79">
        <v>0.25</v>
      </c>
      <c r="C27" s="79" t="s">
        <v>196</v>
      </c>
      <c r="P27" s="79">
        <v>3</v>
      </c>
    </row>
    <row r="28" spans="1:16" ht="12.75">
      <c r="A28" s="84" t="s">
        <v>197</v>
      </c>
      <c r="B28" s="79">
        <v>0.25</v>
      </c>
      <c r="C28" s="79" t="s">
        <v>198</v>
      </c>
      <c r="P28" s="79">
        <v>3</v>
      </c>
    </row>
    <row r="29" spans="1:16" ht="12.75">
      <c r="A29" s="84" t="s">
        <v>199</v>
      </c>
      <c r="B29" s="79">
        <v>0.25</v>
      </c>
      <c r="C29" s="79" t="s">
        <v>200</v>
      </c>
      <c r="P29" s="79">
        <v>3</v>
      </c>
    </row>
    <row r="30" spans="1:16" ht="12.75">
      <c r="A30" s="84" t="s">
        <v>201</v>
      </c>
      <c r="B30" s="79">
        <v>1</v>
      </c>
      <c r="C30" s="79" t="s">
        <v>202</v>
      </c>
      <c r="E30" s="79">
        <v>1</v>
      </c>
      <c r="P30" s="79">
        <v>999</v>
      </c>
    </row>
    <row r="31" spans="1:16" ht="12.75">
      <c r="A31" s="84" t="s">
        <v>203</v>
      </c>
      <c r="B31" s="79">
        <v>1</v>
      </c>
      <c r="C31" s="79" t="s">
        <v>204</v>
      </c>
      <c r="F31" s="79">
        <v>1</v>
      </c>
      <c r="P31" s="79">
        <v>999</v>
      </c>
    </row>
    <row r="32" spans="1:16" ht="12.75">
      <c r="A32" s="84" t="s">
        <v>205</v>
      </c>
      <c r="B32" s="79">
        <v>1</v>
      </c>
      <c r="C32" s="79" t="s">
        <v>206</v>
      </c>
      <c r="G32" s="79">
        <v>1</v>
      </c>
      <c r="P32" s="79">
        <v>999</v>
      </c>
    </row>
    <row r="33" spans="1:16" ht="12.75">
      <c r="A33" s="84" t="s">
        <v>207</v>
      </c>
      <c r="B33" s="79">
        <v>1</v>
      </c>
      <c r="C33" s="79" t="s">
        <v>208</v>
      </c>
      <c r="H33" s="79">
        <v>1</v>
      </c>
      <c r="P33" s="79">
        <v>999</v>
      </c>
    </row>
    <row r="34" spans="1:16" ht="12.75">
      <c r="A34" s="84" t="s">
        <v>209</v>
      </c>
      <c r="B34" s="79">
        <v>2</v>
      </c>
      <c r="C34" s="79" t="s">
        <v>210</v>
      </c>
      <c r="E34" s="79">
        <v>1</v>
      </c>
      <c r="P34" s="79">
        <v>999</v>
      </c>
    </row>
    <row r="35" spans="1:16" ht="12.75">
      <c r="A35" s="84" t="s">
        <v>211</v>
      </c>
      <c r="B35" s="79">
        <v>2</v>
      </c>
      <c r="C35" s="79" t="s">
        <v>212</v>
      </c>
      <c r="F35" s="79">
        <v>1</v>
      </c>
      <c r="P35" s="79">
        <v>999</v>
      </c>
    </row>
    <row r="36" spans="1:16" ht="12.75">
      <c r="A36" s="84" t="s">
        <v>213</v>
      </c>
      <c r="B36" s="79">
        <v>2</v>
      </c>
      <c r="C36" s="79" t="s">
        <v>214</v>
      </c>
      <c r="G36" s="79">
        <v>1</v>
      </c>
      <c r="P36" s="79">
        <v>999</v>
      </c>
    </row>
    <row r="37" spans="1:16" ht="12.75">
      <c r="A37" s="84" t="s">
        <v>215</v>
      </c>
      <c r="B37" s="79">
        <v>2</v>
      </c>
      <c r="C37" s="79" t="s">
        <v>216</v>
      </c>
      <c r="H37" s="79">
        <v>1</v>
      </c>
      <c r="P37" s="79">
        <v>999</v>
      </c>
    </row>
    <row r="38" spans="1:16" ht="12.75">
      <c r="A38" s="84" t="s">
        <v>118</v>
      </c>
      <c r="B38" s="79">
        <v>2</v>
      </c>
      <c r="C38" s="79" t="s">
        <v>217</v>
      </c>
      <c r="G38" s="79">
        <v>1</v>
      </c>
      <c r="M38" s="79">
        <v>1</v>
      </c>
      <c r="P38" s="79">
        <v>1</v>
      </c>
    </row>
    <row r="39" spans="1:16" ht="12.75">
      <c r="A39" s="84" t="s">
        <v>218</v>
      </c>
      <c r="B39" s="79">
        <v>3</v>
      </c>
      <c r="C39" s="79" t="s">
        <v>219</v>
      </c>
      <c r="G39" s="79">
        <v>2</v>
      </c>
      <c r="M39" s="79">
        <v>2</v>
      </c>
      <c r="P39" s="79">
        <v>1</v>
      </c>
    </row>
    <row r="40" spans="1:16" ht="12.75">
      <c r="A40" s="84" t="s">
        <v>220</v>
      </c>
      <c r="B40" s="79">
        <v>5</v>
      </c>
      <c r="C40" s="79" t="s">
        <v>221</v>
      </c>
      <c r="G40" s="79">
        <v>3</v>
      </c>
      <c r="M40" s="79">
        <v>3</v>
      </c>
      <c r="P40" s="79">
        <v>1</v>
      </c>
    </row>
    <row r="41" spans="1:16" ht="12.75">
      <c r="A41" s="84" t="s">
        <v>222</v>
      </c>
      <c r="B41" s="79">
        <v>0.25</v>
      </c>
      <c r="C41" s="79" t="s">
        <v>223</v>
      </c>
      <c r="P41" s="79">
        <v>1</v>
      </c>
    </row>
    <row r="42" spans="1:16" ht="12.75">
      <c r="A42" s="84" t="s">
        <v>224</v>
      </c>
      <c r="B42" s="79">
        <v>0.5</v>
      </c>
      <c r="C42" s="79" t="s">
        <v>225</v>
      </c>
      <c r="P42" s="79">
        <v>1</v>
      </c>
    </row>
    <row r="43" spans="1:16" ht="12.75">
      <c r="A43" s="84" t="s">
        <v>226</v>
      </c>
      <c r="B43" s="79">
        <v>0.25</v>
      </c>
      <c r="C43" s="79" t="s">
        <v>227</v>
      </c>
      <c r="P43" s="79">
        <v>999</v>
      </c>
    </row>
    <row r="44" spans="1:16" ht="12.75">
      <c r="A44" s="84" t="s">
        <v>228</v>
      </c>
      <c r="B44" s="79">
        <v>0.25</v>
      </c>
      <c r="C44" s="79" t="s">
        <v>229</v>
      </c>
      <c r="P44" s="79">
        <v>999</v>
      </c>
    </row>
    <row r="45" spans="1:16" ht="12.75">
      <c r="A45" s="84" t="s">
        <v>230</v>
      </c>
      <c r="B45" s="79">
        <v>0.25</v>
      </c>
      <c r="C45" s="79" t="s">
        <v>231</v>
      </c>
      <c r="P45" s="79">
        <v>999</v>
      </c>
    </row>
    <row r="46" spans="1:16" ht="12.75">
      <c r="A46" s="84" t="s">
        <v>232</v>
      </c>
      <c r="B46" s="79">
        <v>0.5</v>
      </c>
      <c r="C46" s="79" t="s">
        <v>233</v>
      </c>
      <c r="P46" s="79">
        <v>1</v>
      </c>
    </row>
    <row r="47" spans="1:16" ht="12.75">
      <c r="A47" s="84" t="s">
        <v>117</v>
      </c>
      <c r="B47" s="79">
        <v>0.5</v>
      </c>
      <c r="C47" s="79" t="s">
        <v>234</v>
      </c>
      <c r="P47" s="79">
        <v>999</v>
      </c>
    </row>
    <row r="48" spans="1:16" ht="12.75">
      <c r="A48" s="84" t="s">
        <v>235</v>
      </c>
      <c r="B48" s="79">
        <v>0.25</v>
      </c>
      <c r="C48" s="79" t="s">
        <v>236</v>
      </c>
      <c r="P48" s="79">
        <v>1</v>
      </c>
    </row>
    <row r="49" spans="1:16" ht="12.75">
      <c r="A49" s="84" t="s">
        <v>237</v>
      </c>
      <c r="B49" s="79">
        <v>1</v>
      </c>
      <c r="C49" s="79" t="s">
        <v>238</v>
      </c>
      <c r="P49" s="79">
        <v>1</v>
      </c>
    </row>
    <row r="50" spans="1:16" ht="12.75">
      <c r="A50" s="84" t="s">
        <v>239</v>
      </c>
      <c r="B50" s="79">
        <v>0.5</v>
      </c>
      <c r="C50" s="79" t="s">
        <v>240</v>
      </c>
      <c r="P50" s="79">
        <v>1</v>
      </c>
    </row>
    <row r="51" spans="1:16" ht="12.75">
      <c r="A51" s="84" t="s">
        <v>241</v>
      </c>
      <c r="B51" s="79">
        <v>0.5</v>
      </c>
      <c r="C51" s="79" t="s">
        <v>242</v>
      </c>
      <c r="P51" s="79">
        <v>1</v>
      </c>
    </row>
    <row r="52" spans="1:16" ht="12.75">
      <c r="A52" s="84" t="s">
        <v>243</v>
      </c>
      <c r="B52" s="79">
        <v>0.5</v>
      </c>
      <c r="C52" s="79" t="s">
        <v>244</v>
      </c>
      <c r="P52" s="79">
        <v>1</v>
      </c>
    </row>
    <row r="53" spans="1:16" ht="12.75">
      <c r="A53" s="84" t="s">
        <v>245</v>
      </c>
      <c r="B53" s="79">
        <v>1</v>
      </c>
      <c r="C53" s="79" t="s">
        <v>246</v>
      </c>
      <c r="P53" s="79">
        <v>1</v>
      </c>
    </row>
    <row r="54" spans="1:16" ht="12.75">
      <c r="A54" s="84" t="s">
        <v>247</v>
      </c>
      <c r="B54" s="79">
        <v>0.25</v>
      </c>
      <c r="C54" s="79" t="s">
        <v>248</v>
      </c>
      <c r="P54" s="79">
        <v>999</v>
      </c>
    </row>
    <row r="55" spans="1:16" ht="12.75">
      <c r="A55" s="84" t="s">
        <v>249</v>
      </c>
      <c r="B55" s="79">
        <v>0.5</v>
      </c>
      <c r="C55" s="79" t="s">
        <v>250</v>
      </c>
      <c r="P55" s="79">
        <v>1</v>
      </c>
    </row>
    <row r="56" spans="1:16" ht="12.75">
      <c r="A56" s="84" t="s">
        <v>251</v>
      </c>
      <c r="B56" s="79">
        <v>0.5</v>
      </c>
      <c r="C56" s="79" t="s">
        <v>252</v>
      </c>
      <c r="P56" s="79">
        <v>1</v>
      </c>
    </row>
    <row r="57" spans="1:16" ht="12.75">
      <c r="A57" s="84" t="s">
        <v>121</v>
      </c>
      <c r="B57" s="79">
        <v>0.5</v>
      </c>
      <c r="C57" s="79" t="s">
        <v>253</v>
      </c>
      <c r="N57" s="79">
        <v>1</v>
      </c>
      <c r="O57" s="79">
        <v>1</v>
      </c>
      <c r="P57" s="79">
        <v>999</v>
      </c>
    </row>
    <row r="58" spans="1:16" ht="12.75">
      <c r="A58" s="84" t="s">
        <v>254</v>
      </c>
      <c r="B58" s="79">
        <v>0.25</v>
      </c>
      <c r="C58" s="79" t="s">
        <v>255</v>
      </c>
      <c r="P58" s="79">
        <v>999</v>
      </c>
    </row>
    <row r="59" spans="1:16" ht="12.75">
      <c r="A59" s="84" t="s">
        <v>256</v>
      </c>
      <c r="B59" s="79">
        <v>1</v>
      </c>
      <c r="C59" s="79" t="s">
        <v>257</v>
      </c>
      <c r="P59" s="79">
        <v>1</v>
      </c>
    </row>
    <row r="60" spans="1:16" ht="12.75">
      <c r="A60" s="84" t="s">
        <v>258</v>
      </c>
      <c r="B60" s="79">
        <v>0.25</v>
      </c>
      <c r="C60" s="79" t="s">
        <v>259</v>
      </c>
      <c r="P60" s="79">
        <v>1</v>
      </c>
    </row>
    <row r="61" spans="1:16" ht="12.75">
      <c r="A61" s="84" t="s">
        <v>260</v>
      </c>
      <c r="B61" s="79">
        <v>1</v>
      </c>
      <c r="C61" s="79" t="s">
        <v>261</v>
      </c>
      <c r="P61" s="79">
        <v>1</v>
      </c>
    </row>
    <row r="62" spans="1:16" ht="12.75">
      <c r="A62" s="84" t="s">
        <v>262</v>
      </c>
      <c r="B62" s="79">
        <v>0.5</v>
      </c>
      <c r="C62" s="79" t="s">
        <v>263</v>
      </c>
      <c r="P62" s="79">
        <v>999</v>
      </c>
    </row>
    <row r="63" spans="1:16" ht="12.75">
      <c r="A63" s="84" t="s">
        <v>264</v>
      </c>
      <c r="B63" s="79">
        <v>0.25</v>
      </c>
      <c r="C63" s="79" t="s">
        <v>265</v>
      </c>
      <c r="P63" s="79">
        <v>3</v>
      </c>
    </row>
    <row r="64" spans="1:16" ht="12.75">
      <c r="A64" s="84" t="s">
        <v>266</v>
      </c>
      <c r="B64" s="79">
        <v>0.25</v>
      </c>
      <c r="C64" s="79" t="s">
        <v>267</v>
      </c>
      <c r="P64" s="79">
        <v>999</v>
      </c>
    </row>
    <row r="65" spans="1:16" ht="12.75">
      <c r="A65" s="84" t="s">
        <v>268</v>
      </c>
      <c r="B65" s="79">
        <v>0.25</v>
      </c>
      <c r="C65" s="79" t="s">
        <v>269</v>
      </c>
      <c r="P65" s="79">
        <v>999</v>
      </c>
    </row>
    <row r="66" spans="1:16" ht="12.75">
      <c r="A66" s="84" t="s">
        <v>270</v>
      </c>
      <c r="B66" s="79">
        <v>0.5</v>
      </c>
      <c r="C66" s="79" t="s">
        <v>271</v>
      </c>
      <c r="P66" s="79">
        <v>1</v>
      </c>
    </row>
    <row r="67" spans="1:16" ht="12.75">
      <c r="A67" s="84" t="s">
        <v>272</v>
      </c>
      <c r="B67" s="79">
        <v>0.25</v>
      </c>
      <c r="C67" s="79" t="s">
        <v>273</v>
      </c>
      <c r="P67" s="79">
        <v>999</v>
      </c>
    </row>
    <row r="68" spans="1:16" ht="12.75">
      <c r="A68" s="84" t="s">
        <v>274</v>
      </c>
      <c r="B68" s="79">
        <v>0.25</v>
      </c>
      <c r="C68" s="79" t="s">
        <v>275</v>
      </c>
      <c r="P68" s="79">
        <v>999</v>
      </c>
    </row>
    <row r="69" spans="1:16" ht="12.75">
      <c r="A69" s="84" t="s">
        <v>276</v>
      </c>
      <c r="B69" s="79">
        <v>1</v>
      </c>
      <c r="C69" s="79" t="s">
        <v>277</v>
      </c>
      <c r="P69" s="79">
        <v>1</v>
      </c>
    </row>
    <row r="70" spans="1:16" ht="12.75">
      <c r="A70" s="84" t="s">
        <v>278</v>
      </c>
      <c r="B70" s="79">
        <v>0.5</v>
      </c>
      <c r="C70" s="79" t="s">
        <v>279</v>
      </c>
      <c r="P70" s="79">
        <v>999</v>
      </c>
    </row>
    <row r="71" spans="1:16" ht="12.75">
      <c r="A71" s="84" t="s">
        <v>280</v>
      </c>
      <c r="B71" s="79">
        <v>0.25</v>
      </c>
      <c r="C71" s="79" t="s">
        <v>281</v>
      </c>
      <c r="P71" s="79">
        <v>1</v>
      </c>
    </row>
    <row r="72" spans="1:16" ht="12.75">
      <c r="A72" s="84" t="s">
        <v>282</v>
      </c>
      <c r="B72" s="79">
        <v>0.25</v>
      </c>
      <c r="C72" s="79" t="s">
        <v>283</v>
      </c>
      <c r="P72" s="79">
        <v>999</v>
      </c>
    </row>
    <row r="73" spans="1:16" ht="12.75">
      <c r="A73" s="84" t="s">
        <v>284</v>
      </c>
      <c r="B73" s="79">
        <v>0.5</v>
      </c>
      <c r="C73" s="79" t="s">
        <v>285</v>
      </c>
      <c r="P73" s="79">
        <v>1</v>
      </c>
    </row>
    <row r="74" spans="1:16" ht="12.75">
      <c r="A74" s="84" t="s">
        <v>286</v>
      </c>
      <c r="B74" s="79">
        <v>1</v>
      </c>
      <c r="C74" s="79" t="s">
        <v>287</v>
      </c>
      <c r="P74" s="79">
        <v>1</v>
      </c>
    </row>
    <row r="75" spans="1:16" ht="12.75">
      <c r="A75" s="84" t="s">
        <v>288</v>
      </c>
      <c r="B75" s="79">
        <v>1</v>
      </c>
      <c r="C75" s="79" t="s">
        <v>289</v>
      </c>
      <c r="P75" s="79">
        <v>1</v>
      </c>
    </row>
    <row r="76" spans="1:16" ht="12.75">
      <c r="A76" s="84" t="s">
        <v>290</v>
      </c>
      <c r="B76" s="79">
        <v>0.5</v>
      </c>
      <c r="C76" s="79" t="s">
        <v>291</v>
      </c>
      <c r="P76" s="79">
        <v>1</v>
      </c>
    </row>
  </sheetData>
  <sheetProtection sheet="1" objects="1" scenarios="1"/>
  <printOptions/>
  <pageMargins left="0.7479166666666667" right="0.7479166666666667" top="0.9840277777777778" bottom="0.9840277777777778" header="0.5118055555555556" footer="0.5118055555555556"/>
  <pageSetup horizontalDpi="300" verticalDpi="300" orientation="portrait"/>
</worksheet>
</file>

<file path=xl/worksheets/sheet4.xml><?xml version="1.0" encoding="utf-8"?>
<worksheet xmlns="http://schemas.openxmlformats.org/spreadsheetml/2006/main" xmlns:r="http://schemas.openxmlformats.org/officeDocument/2006/relationships">
  <sheetPr codeName="Sheet4">
    <pageSetUpPr fitToPage="1"/>
  </sheetPr>
  <dimension ref="A1:H30"/>
  <sheetViews>
    <sheetView showGridLines="0" workbookViewId="0" topLeftCell="A1">
      <selection activeCell="D7" sqref="D7"/>
    </sheetView>
  </sheetViews>
  <sheetFormatPr defaultColWidth="9.140625" defaultRowHeight="12.75"/>
  <cols>
    <col min="1" max="1" width="19.7109375" style="1" customWidth="1"/>
    <col min="2" max="2" width="2.7109375" style="1" customWidth="1"/>
    <col min="3" max="3" width="2.00390625" style="1" customWidth="1"/>
    <col min="4" max="4" width="6.8515625" style="11" customWidth="1"/>
    <col min="5" max="5" width="3.28125" style="1" customWidth="1"/>
    <col min="6" max="6" width="23.00390625" style="1" customWidth="1"/>
    <col min="7" max="7" width="2.00390625" style="1" customWidth="1"/>
    <col min="8" max="8" width="6.00390625" style="1" customWidth="1"/>
    <col min="9" max="16384" width="9.140625" style="1" customWidth="1"/>
  </cols>
  <sheetData>
    <row r="1" spans="1:3" ht="12.75">
      <c r="A1" s="28" t="str">
        <f>IF(B1="","Not A Technomancer","Resonance Attribute:")</f>
        <v>Not A Technomancer</v>
      </c>
      <c r="B1" s="85">
        <f>IF(Main_Sheet!B2="Technomancer",Main_Sheet!O11,"")</f>
      </c>
      <c r="C1" s="86"/>
    </row>
    <row r="2" spans="1:7" ht="12.75">
      <c r="A2" s="28" t="s">
        <v>292</v>
      </c>
      <c r="B2" s="24">
        <f>IF(B1="",0,2*Main_Sheet!L8)</f>
        <v>0</v>
      </c>
      <c r="C2" s="12"/>
      <c r="F2" s="28" t="s">
        <v>293</v>
      </c>
      <c r="G2" s="1">
        <f>IF(B1="",0,Main_Sheet!L6)</f>
        <v>0</v>
      </c>
    </row>
    <row r="3" spans="1:7" ht="12.75">
      <c r="A3" s="28" t="s">
        <v>294</v>
      </c>
      <c r="B3" s="14">
        <f>COUNTA(D7:D13,D17:D30)</f>
        <v>0</v>
      </c>
      <c r="C3" s="87"/>
      <c r="F3" s="28" t="s">
        <v>295</v>
      </c>
      <c r="G3" s="1">
        <f>IF(B1="",0,MAX(IF(ISERROR(VLOOKUP("Compiling",Main_Sheet!A18:D46,4,FALSE)),0,VLOOKUP("Compiling",Main_Sheet!A18:D46,4,FALSE)),IF(ISERROR(VLOOKUP("Tasking (Group)",Main_Sheet!A18:D46,4,FALSE)),0,VLOOKUP("Tasking (Group)",Main_Sheet!A18:D46,4,FALSE))))</f>
        <v>0</v>
      </c>
    </row>
    <row r="4" spans="1:3" ht="12.75">
      <c r="A4" s="28"/>
      <c r="B4" s="14"/>
      <c r="C4" s="87"/>
    </row>
    <row r="5" spans="1:6" ht="12.75">
      <c r="A5" s="5" t="s">
        <v>296</v>
      </c>
      <c r="F5" s="28" t="s">
        <v>297</v>
      </c>
    </row>
    <row r="6" spans="1:8" ht="12.75">
      <c r="A6" s="64" t="s">
        <v>298</v>
      </c>
      <c r="B6" s="64"/>
      <c r="C6" s="64"/>
      <c r="D6" s="65" t="s">
        <v>299</v>
      </c>
      <c r="F6" s="64" t="s">
        <v>300</v>
      </c>
      <c r="G6" s="64"/>
      <c r="H6" s="65" t="s">
        <v>301</v>
      </c>
    </row>
    <row r="7" spans="1:8" ht="12.75">
      <c r="A7" s="88" t="s">
        <v>302</v>
      </c>
      <c r="B7" s="88"/>
      <c r="C7" s="88"/>
      <c r="D7" s="13"/>
      <c r="F7" s="50"/>
      <c r="G7" s="50"/>
      <c r="H7" s="76"/>
    </row>
    <row r="8" spans="1:8" ht="12.75">
      <c r="A8" s="88" t="s">
        <v>303</v>
      </c>
      <c r="B8" s="88"/>
      <c r="C8" s="88"/>
      <c r="D8" s="13"/>
      <c r="F8" s="50"/>
      <c r="G8" s="50"/>
      <c r="H8" s="76"/>
    </row>
    <row r="9" spans="1:8" ht="12.75">
      <c r="A9" s="88" t="s">
        <v>304</v>
      </c>
      <c r="B9" s="88"/>
      <c r="C9" s="88"/>
      <c r="D9" s="13"/>
      <c r="F9" s="50"/>
      <c r="G9" s="50"/>
      <c r="H9" s="76"/>
    </row>
    <row r="10" spans="1:8" ht="12.75">
      <c r="A10" s="88" t="s">
        <v>305</v>
      </c>
      <c r="B10" s="88"/>
      <c r="C10" s="88"/>
      <c r="D10" s="13"/>
      <c r="F10" s="50"/>
      <c r="G10" s="50"/>
      <c r="H10" s="76"/>
    </row>
    <row r="11" spans="1:8" ht="12.75">
      <c r="A11" s="88" t="s">
        <v>306</v>
      </c>
      <c r="B11" s="88"/>
      <c r="C11" s="88"/>
      <c r="D11" s="13"/>
      <c r="F11" s="50"/>
      <c r="G11" s="50"/>
      <c r="H11" s="76"/>
    </row>
    <row r="12" spans="1:8" ht="12.75">
      <c r="A12" s="88" t="s">
        <v>307</v>
      </c>
      <c r="B12" s="88"/>
      <c r="C12" s="88"/>
      <c r="D12" s="13"/>
      <c r="F12" s="50"/>
      <c r="G12" s="50"/>
      <c r="H12" s="76"/>
    </row>
    <row r="13" spans="1:4" ht="12.75">
      <c r="A13" s="88" t="s">
        <v>308</v>
      </c>
      <c r="B13" s="88"/>
      <c r="C13" s="88"/>
      <c r="D13" s="13"/>
    </row>
    <row r="14" spans="1:3" s="1" customFormat="1" ht="12.75">
      <c r="A14" s="89"/>
      <c r="B14" s="89"/>
      <c r="C14" s="43"/>
    </row>
    <row r="15" spans="1:3" s="1" customFormat="1" ht="12.75">
      <c r="A15" s="90" t="s">
        <v>309</v>
      </c>
      <c r="B15" s="91"/>
      <c r="C15" s="43"/>
    </row>
    <row r="16" spans="1:4" ht="12.75">
      <c r="A16" s="64" t="s">
        <v>298</v>
      </c>
      <c r="B16" s="64"/>
      <c r="C16" s="64"/>
      <c r="D16" s="65" t="s">
        <v>299</v>
      </c>
    </row>
    <row r="17" spans="1:4" ht="12.75">
      <c r="A17" s="88" t="s">
        <v>310</v>
      </c>
      <c r="B17" s="88"/>
      <c r="C17" s="88"/>
      <c r="D17" s="13"/>
    </row>
    <row r="18" spans="1:4" ht="12.75">
      <c r="A18" s="88" t="s">
        <v>311</v>
      </c>
      <c r="B18" s="88"/>
      <c r="C18" s="88"/>
      <c r="D18" s="13"/>
    </row>
    <row r="19" spans="1:4" ht="12.75">
      <c r="A19" s="88" t="s">
        <v>312</v>
      </c>
      <c r="B19" s="88"/>
      <c r="C19" s="88"/>
      <c r="D19" s="13"/>
    </row>
    <row r="20" spans="1:4" ht="12.75">
      <c r="A20" s="88" t="s">
        <v>313</v>
      </c>
      <c r="B20" s="88"/>
      <c r="C20" s="88"/>
      <c r="D20" s="13"/>
    </row>
    <row r="21" spans="1:4" ht="12.75">
      <c r="A21" s="88" t="s">
        <v>314</v>
      </c>
      <c r="B21" s="88"/>
      <c r="C21" s="88"/>
      <c r="D21" s="13"/>
    </row>
    <row r="22" spans="1:4" ht="12.75">
      <c r="A22" s="88" t="s">
        <v>315</v>
      </c>
      <c r="B22" s="88"/>
      <c r="C22" s="88"/>
      <c r="D22" s="13"/>
    </row>
    <row r="23" spans="1:4" ht="12.75">
      <c r="A23" s="88" t="s">
        <v>316</v>
      </c>
      <c r="B23" s="88"/>
      <c r="C23" s="88"/>
      <c r="D23" s="13"/>
    </row>
    <row r="24" spans="1:4" ht="12.75">
      <c r="A24" s="88" t="s">
        <v>317</v>
      </c>
      <c r="B24" s="88"/>
      <c r="C24" s="88"/>
      <c r="D24" s="13"/>
    </row>
    <row r="25" spans="1:4" ht="12.75">
      <c r="A25" s="88" t="s">
        <v>318</v>
      </c>
      <c r="B25" s="88"/>
      <c r="C25" s="88"/>
      <c r="D25" s="13"/>
    </row>
    <row r="26" spans="1:4" ht="12.75">
      <c r="A26" s="88" t="s">
        <v>319</v>
      </c>
      <c r="B26" s="88"/>
      <c r="C26" s="88"/>
      <c r="D26" s="13"/>
    </row>
    <row r="27" spans="1:4" ht="12.75">
      <c r="A27" s="88" t="s">
        <v>320</v>
      </c>
      <c r="B27" s="88"/>
      <c r="C27" s="88"/>
      <c r="D27" s="13"/>
    </row>
    <row r="28" spans="1:4" ht="12.75">
      <c r="A28" s="88" t="s">
        <v>321</v>
      </c>
      <c r="B28" s="88"/>
      <c r="C28" s="88"/>
      <c r="D28" s="13"/>
    </row>
    <row r="29" spans="1:4" ht="12.75">
      <c r="A29" s="88" t="s">
        <v>322</v>
      </c>
      <c r="B29" s="88"/>
      <c r="C29" s="88"/>
      <c r="D29" s="13"/>
    </row>
    <row r="30" spans="1:4" ht="12.75">
      <c r="A30" s="88" t="s">
        <v>323</v>
      </c>
      <c r="B30" s="88"/>
      <c r="C30" s="88"/>
      <c r="D30" s="13"/>
    </row>
  </sheetData>
  <sheetProtection sheet="1" objects="1" scenarios="1"/>
  <mergeCells count="30">
    <mergeCell ref="A6:C6"/>
    <mergeCell ref="F6:G6"/>
    <mergeCell ref="A7:C7"/>
    <mergeCell ref="F7:G7"/>
    <mergeCell ref="A8:C8"/>
    <mergeCell ref="F8:G8"/>
    <mergeCell ref="A9:C9"/>
    <mergeCell ref="F9:G9"/>
    <mergeCell ref="A10:C10"/>
    <mergeCell ref="F10:G10"/>
    <mergeCell ref="A11:C11"/>
    <mergeCell ref="F11:G11"/>
    <mergeCell ref="A12:C12"/>
    <mergeCell ref="F12:G12"/>
    <mergeCell ref="A13:C13"/>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s>
  <conditionalFormatting sqref="B3:C4">
    <cfRule type="cellIs" priority="1" dxfId="3" operator="greaterThan" stopIfTrue="1">
      <formula>$B$2</formula>
    </cfRule>
  </conditionalFormatting>
  <conditionalFormatting sqref="A1">
    <cfRule type="expression" priority="2" dxfId="3" stopIfTrue="1">
      <formula>$B$1=""</formula>
    </cfRule>
  </conditionalFormatting>
  <conditionalFormatting sqref="D7:D13 D17:D30">
    <cfRule type="expression" priority="3" dxfId="3" stopIfTrue="1">
      <formula>OR(D7&gt;$B$1,AND($B$1="",D7&lt;&gt;""))</formula>
    </cfRule>
  </conditionalFormatting>
  <conditionalFormatting sqref="F7:G12">
    <cfRule type="expression" priority="4" dxfId="8" stopIfTrue="1">
      <formula>AND(Max_Registered_Sprites&lt;(ROW()-ROW(Top_Row_Registered_Sprites)+1),F7&lt;&gt;"")</formula>
    </cfRule>
    <cfRule type="expression" priority="5" dxfId="9" stopIfTrue="1">
      <formula>Max_Registered_Sprites&lt;(ROW()-ROW(Top_Row_Registered_Sprites)+1)</formula>
    </cfRule>
  </conditionalFormatting>
  <conditionalFormatting sqref="H7:H12">
    <cfRule type="expression" priority="6" dxfId="8" stopIfTrue="1">
      <formula>AND(Max_Registered_Sprites&lt;(ROW()-ROW(Top_Row_Registered_Sprites)+1),H7&lt;&gt;"")</formula>
    </cfRule>
    <cfRule type="expression" priority="7" dxfId="9" stopIfTrue="1">
      <formula>Max_Registered_Sprites&lt;(ROW()-ROW(Top_Row_Registered_Sprites)+1)</formula>
    </cfRule>
    <cfRule type="cellIs" priority="8" dxfId="3" operator="greaterThan" stopIfTrue="1">
      <formula>Max_Sprite_Tasks</formula>
    </cfRule>
  </conditionalFormatting>
  <dataValidations count="3">
    <dataValidation type="whole" allowBlank="1" showErrorMessage="1" errorTitle="Complex Form Rating" error="To learn this Complex Form enter a numeric value that is at least 1 and no greater than the Technomancer's Resonance attribute, shown at the top of this sheet. Clear the Rating to have the Complex Form unknown." sqref="D7:D13 D17:D30">
      <formula1>1</formula1>
      <formula2>N($B$1)</formula2>
    </dataValidation>
    <dataValidation type="list" allowBlank="1" showErrorMessage="1" sqref="F7:G12">
      <formula1>Sprite_Types</formula1>
      <formula2>0</formula2>
    </dataValidation>
    <dataValidation type="whole" allowBlank="1" showErrorMessage="1" errorTitle="Invalid number of Tasks" error="You must enter a number of tasks owed between 1 and the Maximum Sprite Tasks Owed listed above this table, inclusively. The maximum tasks any sprite can owe at character creation is based on the Compiling skill." sqref="H7:H12">
      <formula1>1</formula1>
      <formula2>Max_Sprite_Tasks</formula2>
    </dataValidation>
  </dataValidations>
  <printOptions/>
  <pageMargins left="0.7479166666666667" right="0.7479166666666667" top="0.9840277777777778" bottom="0.9840277777777778" header="0.5118055555555556" footer="0.5118055555555556"/>
  <pageSetup fitToHeight="1" fitToWidth="1" horizontalDpi="300" verticalDpi="300" orientation="landscape"/>
  <legacyDrawing r:id="rId2"/>
</worksheet>
</file>

<file path=xl/worksheets/sheet5.xml><?xml version="1.0" encoding="utf-8"?>
<worksheet xmlns="http://schemas.openxmlformats.org/spreadsheetml/2006/main" xmlns:r="http://schemas.openxmlformats.org/officeDocument/2006/relationships">
  <sheetPr codeName="Sheet5">
    <pageSetUpPr fitToPage="1"/>
  </sheetPr>
  <dimension ref="A1:V27"/>
  <sheetViews>
    <sheetView showGridLines="0" workbookViewId="0" topLeftCell="A1">
      <selection activeCell="A2" sqref="A2"/>
    </sheetView>
  </sheetViews>
  <sheetFormatPr defaultColWidth="9.140625" defaultRowHeight="12.75"/>
  <cols>
    <col min="1" max="1" width="28.421875" style="1" customWidth="1"/>
    <col min="2" max="2" width="6.28125" style="11" customWidth="1"/>
    <col min="3" max="3" width="6.140625" style="11" customWidth="1"/>
    <col min="4" max="4" width="5.140625" style="1" customWidth="1"/>
    <col min="5" max="5" width="8.57421875" style="1" customWidth="1"/>
    <col min="6" max="6" width="7.57421875" style="1" customWidth="1"/>
    <col min="7" max="7" width="10.00390625" style="92" customWidth="1"/>
    <col min="8" max="8" width="46.8515625" style="1" customWidth="1"/>
    <col min="9" max="9" width="0.9921875" style="1" customWidth="1"/>
    <col min="10" max="10" width="5.140625" style="1" customWidth="1"/>
    <col min="11" max="11" width="5.00390625" style="1" customWidth="1"/>
    <col min="12" max="12" width="4.57421875" style="1" customWidth="1"/>
    <col min="13" max="13" width="4.00390625" style="1" customWidth="1"/>
    <col min="14" max="14" width="4.57421875" style="1" customWidth="1"/>
    <col min="15" max="15" width="3.57421875" style="1" customWidth="1"/>
    <col min="16" max="16" width="4.57421875" style="1" customWidth="1"/>
    <col min="17" max="17" width="3.28125" style="1" customWidth="1"/>
    <col min="18" max="18" width="4.421875" style="1" customWidth="1"/>
    <col min="19" max="19" width="4.57421875" style="1" customWidth="1"/>
    <col min="20" max="20" width="4.00390625" style="1" customWidth="1"/>
    <col min="21" max="21" width="4.421875" style="1" customWidth="1"/>
    <col min="22" max="22" width="4.00390625" style="1" customWidth="1"/>
    <col min="23" max="16384" width="9.140625" style="1" customWidth="1"/>
  </cols>
  <sheetData>
    <row r="1" spans="1:22" ht="12.75">
      <c r="A1" s="66" t="s">
        <v>324</v>
      </c>
      <c r="B1" s="65" t="s">
        <v>299</v>
      </c>
      <c r="C1" s="65" t="s">
        <v>325</v>
      </c>
      <c r="D1" s="65" t="s">
        <v>133</v>
      </c>
      <c r="E1" s="65" t="s">
        <v>326</v>
      </c>
      <c r="F1" s="65" t="s">
        <v>327</v>
      </c>
      <c r="G1" s="93" t="s">
        <v>328</v>
      </c>
      <c r="H1" s="66" t="s">
        <v>107</v>
      </c>
      <c r="J1" s="66" t="s">
        <v>108</v>
      </c>
      <c r="K1" s="66" t="s">
        <v>329</v>
      </c>
      <c r="L1" s="66" t="s">
        <v>330</v>
      </c>
      <c r="M1" s="64" t="s">
        <v>109</v>
      </c>
      <c r="N1" s="64" t="s">
        <v>110</v>
      </c>
      <c r="O1" s="64" t="s">
        <v>111</v>
      </c>
      <c r="P1" s="64" t="s">
        <v>142</v>
      </c>
      <c r="Q1" s="64" t="s">
        <v>143</v>
      </c>
      <c r="R1" s="64" t="s">
        <v>144</v>
      </c>
      <c r="S1" s="64" t="s">
        <v>145</v>
      </c>
      <c r="T1" s="66" t="s">
        <v>112</v>
      </c>
      <c r="U1" s="64" t="s">
        <v>113</v>
      </c>
      <c r="V1" s="64" t="s">
        <v>114</v>
      </c>
    </row>
    <row r="2" spans="1:22" ht="12.75">
      <c r="A2" s="94"/>
      <c r="B2" s="53"/>
      <c r="C2" s="95"/>
      <c r="D2" s="96">
        <f>IF($A2="","",(VLOOKUP($A2,Complete_Ware_Table,4,FALSE))*(IF($B2="",1,IF(ISERR(FIND("A",VLOOKUP($A2,Complete_Ware_Table,5,FALSE))),$B2,1))))</f>
      </c>
      <c r="E2" s="57">
        <f>IF($A2="","",IF(VLOOKUP($A2,Complete_Ware_Table,2,FALSE)&lt;&gt;"Cyber",0,(VLOOKUP($A2,Complete_Ware_Table,3,FALSE))*IF($A2="","",IF($C2="Alpha",0.8,IF($C2="Beta",0.7,IF($C2="Delta",0.5,1)))*(IF($B2="",1,IF(ISERROR(FIND("E",VLOOKUP($A2,Complete_Ware_Table,5,FALSE))),$B2,1))))))</f>
      </c>
      <c r="F2" s="57">
        <f>IF($A2="","",IF(VLOOKUP($A2,Complete_Ware_Table,2,FALSE)&lt;&gt;"Bio",0,(VLOOKUP($A2,Complete_Ware_Table,3,FALSE))*IF($A2="","",IF($C2="Alpha",0.8,IF($C2="Beta",0.7,IF($C2="Delta",0.5,1)))*(IF($B2="",1,IF(ISERROR(FIND("E",VLOOKUP($A2,Complete_Ware_Table,5,FALSE))),$B2,1))))))</f>
      </c>
      <c r="G2" s="97">
        <f>IF($A2="","",(VLOOKUP($A2,Complete_Ware_Table,6,FALSE))*IF($C2="Alpha",2,IF($C2="Beta",4,IF($C2="Delta",10,1)))*(IF($B2="",1,$B2)))</f>
      </c>
      <c r="H2" s="57">
        <f aca="true" t="shared" si="0" ref="H2:H23">IF($A2="","",VLOOKUP($A2,Complete_Ware_Table,7,FALSE))</f>
      </c>
      <c r="J2" s="57">
        <f>IF($A2="","",IF(VLOOKUP($A2,Complete_Ware_Table,8,FALSE)="","",VLOOKUP($A2,Complete_Ware_Table,8,FALSE)*(IF($B2="",1,$B2))))</f>
      </c>
      <c r="K2" s="57">
        <f>IF($A2="","",IF(VLOOKUP($A2,Complete_Ware_Table,9,FALSE)="","",VLOOKUP($A2,Complete_Ware_Table,9,FALSE)*(IF($B2="",1,$B2))))</f>
      </c>
      <c r="L2" s="57">
        <f>IF($A2="","",IF(VLOOKUP($A2,Complete_Ware_Table,10,FALSE)="","",VLOOKUP($A2,Complete_Ware_Table,10,FALSE)*(IF($B2="",1,$B2))))</f>
      </c>
      <c r="M2" s="57">
        <f>IF($A2="","",IF(VLOOKUP($A2,Complete_Ware_Table,11,FALSE)="","",VLOOKUP($A2,Complete_Ware_Table,11,FALSE)*(IF($B2="",1,$B2))))</f>
      </c>
      <c r="N2" s="57">
        <f>IF($A2="","",IF(VLOOKUP($A2,Complete_Ware_Table,12,FALSE)="","",VLOOKUP($A2,Complete_Ware_Table,12,FALSE)*(IF($B2="",1,$B2))))</f>
      </c>
      <c r="O2" s="57">
        <f>IF($A2="","",IF(VLOOKUP($A2,Complete_Ware_Table,13,FALSE)="","",VLOOKUP($A2,Complete_Ware_Table,13,FALSE)*(IF($B2="",1,$B2))))</f>
      </c>
      <c r="P2" s="57">
        <f>IF($A2="","",IF(VLOOKUP($A2,Complete_Ware_Table,14,FALSE)="","",VLOOKUP($A2,Complete_Ware_Table,14,FALSE)*(IF($B2="",1,$B2))))</f>
      </c>
      <c r="Q2" s="57">
        <f>IF($A2="","",IF(VLOOKUP($A2,Complete_Ware_Table,15,FALSE)="","",VLOOKUP($A2,Complete_Ware_Table,15,FALSE)*(IF($B2="",1,$B2))))</f>
      </c>
      <c r="R2" s="57">
        <f>IF($A2="","",IF(VLOOKUP($A2,Complete_Ware_Table,16,FALSE)="","",VLOOKUP($A2,Complete_Ware_Table,16,FALSE)*(IF($B2="",1,$B2))))</f>
      </c>
      <c r="S2" s="57">
        <f>IF($A2="","",IF(VLOOKUP($A2,Complete_Ware_Table,17,FALSE)="","",VLOOKUP($A2,Complete_Ware_Table,17,FALSE)*(IF($B2="",1,$B2))))</f>
      </c>
      <c r="T2" s="57">
        <f>IF($A2="","",IF(VLOOKUP($A2,Complete_Ware_Table,18,FALSE)="","",VLOOKUP($A2,Complete_Ware_Table,18,FALSE)*(IF($B2="",1,$B2))))</f>
      </c>
      <c r="U2" s="57">
        <f>IF($A2="","",IF(VLOOKUP($A2,Complete_Ware_Table,19,FALSE)="","",VLOOKUP($A2,Complete_Ware_Table,19,FALSE)*(IF($B2="",1,$B2))))</f>
      </c>
      <c r="V2" s="57">
        <f>IF($A2="","",IF(VLOOKUP($A2,Complete_Ware_Table,20,FALSE)="","",VLOOKUP($A2,Complete_Ware_Table,20,FALSE)*(IF($B2="",1,$B2))))</f>
      </c>
    </row>
    <row r="3" spans="1:22" ht="12.75">
      <c r="A3" s="94"/>
      <c r="B3" s="53"/>
      <c r="C3" s="95"/>
      <c r="D3" s="96">
        <f>IF($A3="","",(VLOOKUP($A3,Complete_Ware_Table,4,FALSE))*(IF($B3="",1,IF(ISERR(FIND("A",VLOOKUP($A3,Complete_Ware_Table,5,FALSE))),$B3,1))))</f>
      </c>
      <c r="E3" s="57">
        <f>IF($A3="","",IF(VLOOKUP($A3,Complete_Ware_Table,2,FALSE)&lt;&gt;"Cyber",0,(VLOOKUP($A3,Complete_Ware_Table,3,FALSE))*IF($A3="","",IF($C3="Alpha",0.8,IF($C3="Beta",0.7,IF($C3="Delta",0.5,1)))*(IF($B3="",1,IF(ISERROR(FIND("E",VLOOKUP($A3,Complete_Ware_Table,5,FALSE))),$B3,1))))))</f>
      </c>
      <c r="F3" s="57">
        <f>IF($A3="","",IF(VLOOKUP($A3,Complete_Ware_Table,2,FALSE)&lt;&gt;"Bio",0,(VLOOKUP($A3,Complete_Ware_Table,3,FALSE))*IF($A3="","",IF($C3="Alpha",0.8,IF($C3="Beta",0.7,IF($C3="Delta",0.5,1)))*(IF($B3="",1,IF(ISERROR(FIND("E",VLOOKUP($A3,Complete_Ware_Table,5,FALSE))),$B3,1))))))</f>
      </c>
      <c r="G3" s="97">
        <f>IF($A3="","",(VLOOKUP($A3,Complete_Ware_Table,6,FALSE))*IF($C3="Alpha",2,IF($C3="Beta",4,IF($C3="Delta",10,1)))*(IF($B3="",1,$B3)))</f>
      </c>
      <c r="H3" s="57">
        <f t="shared" si="0"/>
      </c>
      <c r="J3" s="57">
        <f>IF($A3="","",IF(VLOOKUP($A3,Complete_Ware_Table,8,FALSE)="","",VLOOKUP($A3,Complete_Ware_Table,8,FALSE)*(IF($B3="",1,$B3))))</f>
      </c>
      <c r="K3" s="57">
        <f>IF($A3="","",IF(VLOOKUP($A3,Complete_Ware_Table,9,FALSE)="","",VLOOKUP($A3,Complete_Ware_Table,9,FALSE)*(IF($B3="",1,$B3))))</f>
      </c>
      <c r="L3" s="57">
        <f>IF($A3="","",IF(VLOOKUP($A3,Complete_Ware_Table,10,FALSE)="","",VLOOKUP($A3,Complete_Ware_Table,10,FALSE)*(IF($B3="",1,$B3))))</f>
      </c>
      <c r="M3" s="57">
        <f>IF($A3="","",IF(VLOOKUP($A3,Complete_Ware_Table,11,FALSE)="","",VLOOKUP($A3,Complete_Ware_Table,11,FALSE)*(IF($B3="",1,$B3))))</f>
      </c>
      <c r="N3" s="57">
        <f>IF($A3="","",IF(VLOOKUP($A3,Complete_Ware_Table,12,FALSE)="","",VLOOKUP($A3,Complete_Ware_Table,12,FALSE)*(IF($B3="",1,$B3))))</f>
      </c>
      <c r="O3" s="57">
        <f>IF($A3="","",IF(VLOOKUP($A3,Complete_Ware_Table,13,FALSE)="","",VLOOKUP($A3,Complete_Ware_Table,13,FALSE)*(IF($B3="",1,$B3))))</f>
      </c>
      <c r="P3" s="57">
        <f>IF($A3="","",IF(VLOOKUP($A3,Complete_Ware_Table,14,FALSE)="","",VLOOKUP($A3,Complete_Ware_Table,14,FALSE)*(IF($B3="",1,$B3))))</f>
      </c>
      <c r="Q3" s="57">
        <f>IF($A3="","",IF(VLOOKUP($A3,Complete_Ware_Table,15,FALSE)="","",VLOOKUP($A3,Complete_Ware_Table,15,FALSE)*(IF($B3="",1,$B3))))</f>
      </c>
      <c r="R3" s="57">
        <f>IF($A3="","",IF(VLOOKUP($A3,Complete_Ware_Table,16,FALSE)="","",VLOOKUP($A3,Complete_Ware_Table,16,FALSE)*(IF($B3="",1,$B3))))</f>
      </c>
      <c r="S3" s="57">
        <f>IF($A3="","",IF(VLOOKUP($A3,Complete_Ware_Table,17,FALSE)="","",VLOOKUP($A3,Complete_Ware_Table,17,FALSE)*(IF($B3="",1,$B3))))</f>
      </c>
      <c r="T3" s="57">
        <f>IF($A3="","",IF(VLOOKUP($A3,Complete_Ware_Table,18,FALSE)="","",VLOOKUP($A3,Complete_Ware_Table,18,FALSE)*(IF($B3="",1,$B3))))</f>
      </c>
      <c r="U3" s="57">
        <f>IF($A3="","",IF(VLOOKUP($A3,Complete_Ware_Table,19,FALSE)="","",VLOOKUP($A3,Complete_Ware_Table,19,FALSE)*(IF($B3="",1,$B3))))</f>
      </c>
      <c r="V3" s="57">
        <f>IF($A3="","",IF(VLOOKUP($A3,Complete_Ware_Table,20,FALSE)="","",VLOOKUP($A3,Complete_Ware_Table,20,FALSE)*(IF($B3="",1,$B3))))</f>
      </c>
    </row>
    <row r="4" spans="1:22" ht="12.75">
      <c r="A4" s="94"/>
      <c r="B4" s="53"/>
      <c r="C4" s="95"/>
      <c r="D4" s="96">
        <f aca="true" t="shared" si="1" ref="D4:D23">IF($A4="","",(VLOOKUP($A4,Complete_Ware_Table,4,FALSE))*(IF($B4="",1,IF(ISERR(FIND("A",VLOOKUP($A4,Complete_Ware_Table,5,FALSE))),$B4,1))))</f>
      </c>
      <c r="E4" s="57">
        <f aca="true" t="shared" si="2" ref="E4:E23">IF($A4="","",IF(VLOOKUP($A4,Complete_Ware_Table,2,FALSE)&lt;&gt;"Cyber",0,(VLOOKUP($A4,Complete_Ware_Table,3,FALSE))*IF($A4="","",IF($C4="Alpha",0.8,IF($C4="Beta",0.7,IF($C4="Delta",0.5,1)))*(IF($B4="",1,IF(ISERROR(FIND("E",VLOOKUP($A4,Complete_Ware_Table,5,FALSE))),$B4,1))))))</f>
      </c>
      <c r="F4" s="57">
        <f aca="true" t="shared" si="3" ref="F4:F23">IF($A4="","",IF(VLOOKUP($A4,Complete_Ware_Table,2,FALSE)&lt;&gt;"Bio",0,(VLOOKUP($A4,Complete_Ware_Table,3,FALSE))*IF($A4="","",IF($C4="Alpha",0.8,IF($C4="Beta",0.7,IF($C4="Delta",0.5,1)))*(IF($B4="",1,IF(ISERROR(FIND("E",VLOOKUP($A4,Complete_Ware_Table,5,FALSE))),$B4,1))))))</f>
      </c>
      <c r="G4" s="97">
        <f aca="true" t="shared" si="4" ref="G4:G23">IF($A4="","",(VLOOKUP($A4,Complete_Ware_Table,6,FALSE))*IF($C4="Alpha",2,IF($C4="Beta",4,IF($C4="Delta",10,1)))*(IF($B4="",1,$B4)))</f>
      </c>
      <c r="H4" s="57">
        <f t="shared" si="0"/>
      </c>
      <c r="J4" s="57">
        <f aca="true" t="shared" si="5" ref="J4:J23">IF($A4="","",IF(VLOOKUP($A4,Complete_Ware_Table,8,FALSE)="","",VLOOKUP($A4,Complete_Ware_Table,8,FALSE)*(IF($B4="",1,$B4))))</f>
      </c>
      <c r="K4" s="57">
        <f aca="true" t="shared" si="6" ref="K4:K23">IF($A4="","",IF(VLOOKUP($A4,Complete_Ware_Table,9,FALSE)="","",VLOOKUP($A4,Complete_Ware_Table,9,FALSE)*(IF($B4="",1,$B4))))</f>
      </c>
      <c r="L4" s="57">
        <f aca="true" t="shared" si="7" ref="L4:L23">IF($A4="","",IF(VLOOKUP($A4,Complete_Ware_Table,10,FALSE)="","",VLOOKUP($A4,Complete_Ware_Table,10,FALSE)*(IF($B4="",1,$B4))))</f>
      </c>
      <c r="M4" s="57">
        <f aca="true" t="shared" si="8" ref="M4:M23">IF($A4="","",IF(VLOOKUP($A4,Complete_Ware_Table,11,FALSE)="","",VLOOKUP($A4,Complete_Ware_Table,11,FALSE)*(IF($B4="",1,$B4))))</f>
      </c>
      <c r="N4" s="57">
        <f aca="true" t="shared" si="9" ref="N4:N23">IF($A4="","",IF(VLOOKUP($A4,Complete_Ware_Table,12,FALSE)="","",VLOOKUP($A4,Complete_Ware_Table,12,FALSE)*(IF($B4="",1,$B4))))</f>
      </c>
      <c r="O4" s="57">
        <f aca="true" t="shared" si="10" ref="O4:O23">IF($A4="","",IF(VLOOKUP($A4,Complete_Ware_Table,13,FALSE)="","",VLOOKUP($A4,Complete_Ware_Table,13,FALSE)*(IF($B4="",1,$B4))))</f>
      </c>
      <c r="P4" s="57">
        <f aca="true" t="shared" si="11" ref="P4:P23">IF($A4="","",IF(VLOOKUP($A4,Complete_Ware_Table,14,FALSE)="","",VLOOKUP($A4,Complete_Ware_Table,14,FALSE)*(IF($B4="",1,$B4))))</f>
      </c>
      <c r="Q4" s="57">
        <f aca="true" t="shared" si="12" ref="Q4:Q23">IF($A4="","",IF(VLOOKUP($A4,Complete_Ware_Table,15,FALSE)="","",VLOOKUP($A4,Complete_Ware_Table,15,FALSE)*(IF($B4="",1,$B4))))</f>
      </c>
      <c r="R4" s="57">
        <f aca="true" t="shared" si="13" ref="R4:R23">IF($A4="","",IF(VLOOKUP($A4,Complete_Ware_Table,16,FALSE)="","",VLOOKUP($A4,Complete_Ware_Table,16,FALSE)*(IF($B4="",1,$B4))))</f>
      </c>
      <c r="S4" s="57">
        <f aca="true" t="shared" si="14" ref="S4:S23">IF($A4="","",IF(VLOOKUP($A4,Complete_Ware_Table,17,FALSE)="","",VLOOKUP($A4,Complete_Ware_Table,17,FALSE)*(IF($B4="",1,$B4))))</f>
      </c>
      <c r="T4" s="57">
        <f aca="true" t="shared" si="15" ref="T4:T23">IF($A4="","",IF(VLOOKUP($A4,Complete_Ware_Table,18,FALSE)="","",VLOOKUP($A4,Complete_Ware_Table,18,FALSE)*(IF($B4="",1,$B4))))</f>
      </c>
      <c r="U4" s="57">
        <f aca="true" t="shared" si="16" ref="U4:U23">IF($A4="","",IF(VLOOKUP($A4,Complete_Ware_Table,19,FALSE)="","",VLOOKUP($A4,Complete_Ware_Table,19,FALSE)*(IF($B4="",1,$B4))))</f>
      </c>
      <c r="V4" s="57">
        <f aca="true" t="shared" si="17" ref="V4:V23">IF($A4="","",IF(VLOOKUP($A4,Complete_Ware_Table,20,FALSE)="","",VLOOKUP($A4,Complete_Ware_Table,20,FALSE)*(IF($B4="",1,$B4))))</f>
      </c>
    </row>
    <row r="5" spans="1:22" ht="12.75">
      <c r="A5" s="94"/>
      <c r="B5" s="53"/>
      <c r="C5" s="95"/>
      <c r="D5" s="96">
        <f t="shared" si="1"/>
      </c>
      <c r="E5" s="57">
        <f t="shared" si="2"/>
      </c>
      <c r="F5" s="57">
        <f t="shared" si="3"/>
      </c>
      <c r="G5" s="97">
        <f t="shared" si="4"/>
      </c>
      <c r="H5" s="57">
        <f t="shared" si="0"/>
      </c>
      <c r="J5" s="57">
        <f t="shared" si="5"/>
      </c>
      <c r="K5" s="57">
        <f t="shared" si="6"/>
      </c>
      <c r="L5" s="57">
        <f t="shared" si="7"/>
      </c>
      <c r="M5" s="57">
        <f t="shared" si="8"/>
      </c>
      <c r="N5" s="57">
        <f t="shared" si="9"/>
      </c>
      <c r="O5" s="57">
        <f t="shared" si="10"/>
      </c>
      <c r="P5" s="57">
        <f t="shared" si="11"/>
      </c>
      <c r="Q5" s="57">
        <f t="shared" si="12"/>
      </c>
      <c r="R5" s="57">
        <f t="shared" si="13"/>
      </c>
      <c r="S5" s="57">
        <f t="shared" si="14"/>
      </c>
      <c r="T5" s="57">
        <f t="shared" si="15"/>
      </c>
      <c r="U5" s="57">
        <f t="shared" si="16"/>
      </c>
      <c r="V5" s="57">
        <f t="shared" si="17"/>
      </c>
    </row>
    <row r="6" spans="1:22" ht="12.75">
      <c r="A6" s="94"/>
      <c r="B6" s="53"/>
      <c r="C6" s="95"/>
      <c r="D6" s="96">
        <f t="shared" si="1"/>
      </c>
      <c r="E6" s="57">
        <f t="shared" si="2"/>
      </c>
      <c r="F6" s="57">
        <f t="shared" si="3"/>
      </c>
      <c r="G6" s="97">
        <f t="shared" si="4"/>
      </c>
      <c r="H6" s="57">
        <f t="shared" si="0"/>
      </c>
      <c r="J6" s="57">
        <f t="shared" si="5"/>
      </c>
      <c r="K6" s="57">
        <f t="shared" si="6"/>
      </c>
      <c r="L6" s="57">
        <f t="shared" si="7"/>
      </c>
      <c r="M6" s="57">
        <f t="shared" si="8"/>
      </c>
      <c r="N6" s="57">
        <f t="shared" si="9"/>
      </c>
      <c r="O6" s="57">
        <f t="shared" si="10"/>
      </c>
      <c r="P6" s="57">
        <f t="shared" si="11"/>
      </c>
      <c r="Q6" s="57">
        <f t="shared" si="12"/>
      </c>
      <c r="R6" s="57">
        <f t="shared" si="13"/>
      </c>
      <c r="S6" s="57">
        <f t="shared" si="14"/>
      </c>
      <c r="T6" s="57">
        <f t="shared" si="15"/>
      </c>
      <c r="U6" s="57">
        <f t="shared" si="16"/>
      </c>
      <c r="V6" s="57">
        <f t="shared" si="17"/>
      </c>
    </row>
    <row r="7" spans="1:22" ht="12.75">
      <c r="A7" s="94"/>
      <c r="B7" s="53"/>
      <c r="C7" s="95"/>
      <c r="D7" s="96">
        <f t="shared" si="1"/>
      </c>
      <c r="E7" s="57">
        <f t="shared" si="2"/>
      </c>
      <c r="F7" s="57">
        <f t="shared" si="3"/>
      </c>
      <c r="G7" s="97">
        <f t="shared" si="4"/>
      </c>
      <c r="H7" s="57">
        <f t="shared" si="0"/>
      </c>
      <c r="J7" s="57">
        <f t="shared" si="5"/>
      </c>
      <c r="K7" s="57">
        <f t="shared" si="6"/>
      </c>
      <c r="L7" s="57">
        <f t="shared" si="7"/>
      </c>
      <c r="M7" s="57">
        <f t="shared" si="8"/>
      </c>
      <c r="N7" s="57">
        <f t="shared" si="9"/>
      </c>
      <c r="O7" s="57">
        <f t="shared" si="10"/>
      </c>
      <c r="P7" s="57">
        <f t="shared" si="11"/>
      </c>
      <c r="Q7" s="57">
        <f t="shared" si="12"/>
      </c>
      <c r="R7" s="57">
        <f t="shared" si="13"/>
      </c>
      <c r="S7" s="57">
        <f t="shared" si="14"/>
      </c>
      <c r="T7" s="57">
        <f t="shared" si="15"/>
      </c>
      <c r="U7" s="57">
        <f t="shared" si="16"/>
      </c>
      <c r="V7" s="57">
        <f t="shared" si="17"/>
      </c>
    </row>
    <row r="8" spans="1:22" ht="12.75">
      <c r="A8" s="94"/>
      <c r="B8" s="53"/>
      <c r="C8" s="95"/>
      <c r="D8" s="96">
        <f t="shared" si="1"/>
      </c>
      <c r="E8" s="57">
        <f t="shared" si="2"/>
      </c>
      <c r="F8" s="57">
        <f t="shared" si="3"/>
      </c>
      <c r="G8" s="97">
        <f t="shared" si="4"/>
      </c>
      <c r="H8" s="57">
        <f t="shared" si="0"/>
      </c>
      <c r="J8" s="57">
        <f t="shared" si="5"/>
      </c>
      <c r="K8" s="57">
        <f t="shared" si="6"/>
      </c>
      <c r="L8" s="57">
        <f t="shared" si="7"/>
      </c>
      <c r="M8" s="57">
        <f t="shared" si="8"/>
      </c>
      <c r="N8" s="57">
        <f t="shared" si="9"/>
      </c>
      <c r="O8" s="57">
        <f t="shared" si="10"/>
      </c>
      <c r="P8" s="57">
        <f t="shared" si="11"/>
      </c>
      <c r="Q8" s="57">
        <f t="shared" si="12"/>
      </c>
      <c r="R8" s="57">
        <f t="shared" si="13"/>
      </c>
      <c r="S8" s="57">
        <f t="shared" si="14"/>
      </c>
      <c r="T8" s="57">
        <f t="shared" si="15"/>
      </c>
      <c r="U8" s="57">
        <f t="shared" si="16"/>
      </c>
      <c r="V8" s="57">
        <f t="shared" si="17"/>
      </c>
    </row>
    <row r="9" spans="1:22" ht="12.75">
      <c r="A9" s="94"/>
      <c r="B9" s="53"/>
      <c r="C9" s="95"/>
      <c r="D9" s="96">
        <f t="shared" si="1"/>
      </c>
      <c r="E9" s="57">
        <f t="shared" si="2"/>
      </c>
      <c r="F9" s="57">
        <f t="shared" si="3"/>
      </c>
      <c r="G9" s="97">
        <f t="shared" si="4"/>
      </c>
      <c r="H9" s="57">
        <f t="shared" si="0"/>
      </c>
      <c r="J9" s="57">
        <f t="shared" si="5"/>
      </c>
      <c r="K9" s="57">
        <f t="shared" si="6"/>
      </c>
      <c r="L9" s="57">
        <f t="shared" si="7"/>
      </c>
      <c r="M9" s="57">
        <f t="shared" si="8"/>
      </c>
      <c r="N9" s="57">
        <f t="shared" si="9"/>
      </c>
      <c r="O9" s="57">
        <f t="shared" si="10"/>
      </c>
      <c r="P9" s="57">
        <f t="shared" si="11"/>
      </c>
      <c r="Q9" s="57">
        <f t="shared" si="12"/>
      </c>
      <c r="R9" s="57">
        <f t="shared" si="13"/>
      </c>
      <c r="S9" s="57">
        <f t="shared" si="14"/>
      </c>
      <c r="T9" s="57">
        <f t="shared" si="15"/>
      </c>
      <c r="U9" s="57">
        <f t="shared" si="16"/>
      </c>
      <c r="V9" s="57">
        <f t="shared" si="17"/>
      </c>
    </row>
    <row r="10" spans="1:22" ht="12.75">
      <c r="A10" s="94"/>
      <c r="B10" s="53"/>
      <c r="C10" s="95"/>
      <c r="D10" s="96">
        <f t="shared" si="1"/>
      </c>
      <c r="E10" s="57">
        <f t="shared" si="2"/>
      </c>
      <c r="F10" s="57">
        <f t="shared" si="3"/>
      </c>
      <c r="G10" s="97">
        <f t="shared" si="4"/>
      </c>
      <c r="H10" s="57">
        <f t="shared" si="0"/>
      </c>
      <c r="J10" s="57">
        <f t="shared" si="5"/>
      </c>
      <c r="K10" s="57">
        <f t="shared" si="6"/>
      </c>
      <c r="L10" s="57">
        <f t="shared" si="7"/>
      </c>
      <c r="M10" s="57">
        <f t="shared" si="8"/>
      </c>
      <c r="N10" s="57">
        <f t="shared" si="9"/>
      </c>
      <c r="O10" s="57">
        <f t="shared" si="10"/>
      </c>
      <c r="P10" s="57">
        <f t="shared" si="11"/>
      </c>
      <c r="Q10" s="57">
        <f t="shared" si="12"/>
      </c>
      <c r="R10" s="57">
        <f t="shared" si="13"/>
      </c>
      <c r="S10" s="57">
        <f t="shared" si="14"/>
      </c>
      <c r="T10" s="57">
        <f t="shared" si="15"/>
      </c>
      <c r="U10" s="57">
        <f t="shared" si="16"/>
      </c>
      <c r="V10" s="57">
        <f t="shared" si="17"/>
      </c>
    </row>
    <row r="11" spans="1:22" ht="12.75">
      <c r="A11" s="94"/>
      <c r="B11" s="53"/>
      <c r="C11" s="95"/>
      <c r="D11" s="96">
        <f t="shared" si="1"/>
      </c>
      <c r="E11" s="57">
        <f t="shared" si="2"/>
      </c>
      <c r="F11" s="57">
        <f t="shared" si="3"/>
      </c>
      <c r="G11" s="97">
        <f t="shared" si="4"/>
      </c>
      <c r="H11" s="57">
        <f t="shared" si="0"/>
      </c>
      <c r="J11" s="57">
        <f t="shared" si="5"/>
      </c>
      <c r="K11" s="57">
        <f t="shared" si="6"/>
      </c>
      <c r="L11" s="57">
        <f t="shared" si="7"/>
      </c>
      <c r="M11" s="57">
        <f t="shared" si="8"/>
      </c>
      <c r="N11" s="57">
        <f t="shared" si="9"/>
      </c>
      <c r="O11" s="57">
        <f t="shared" si="10"/>
      </c>
      <c r="P11" s="57">
        <f t="shared" si="11"/>
      </c>
      <c r="Q11" s="57">
        <f t="shared" si="12"/>
      </c>
      <c r="R11" s="57">
        <f t="shared" si="13"/>
      </c>
      <c r="S11" s="57">
        <f t="shared" si="14"/>
      </c>
      <c r="T11" s="57">
        <f t="shared" si="15"/>
      </c>
      <c r="U11" s="57">
        <f t="shared" si="16"/>
      </c>
      <c r="V11" s="57">
        <f t="shared" si="17"/>
      </c>
    </row>
    <row r="12" spans="1:22" ht="12.75">
      <c r="A12" s="94"/>
      <c r="B12" s="53"/>
      <c r="C12" s="95"/>
      <c r="D12" s="96">
        <f t="shared" si="1"/>
      </c>
      <c r="E12" s="57">
        <f t="shared" si="2"/>
      </c>
      <c r="F12" s="57">
        <f t="shared" si="3"/>
      </c>
      <c r="G12" s="97">
        <f t="shared" si="4"/>
      </c>
      <c r="H12" s="57">
        <f t="shared" si="0"/>
      </c>
      <c r="J12" s="57">
        <f t="shared" si="5"/>
      </c>
      <c r="K12" s="57">
        <f t="shared" si="6"/>
      </c>
      <c r="L12" s="57">
        <f t="shared" si="7"/>
      </c>
      <c r="M12" s="57">
        <f t="shared" si="8"/>
      </c>
      <c r="N12" s="57">
        <f t="shared" si="9"/>
      </c>
      <c r="O12" s="57">
        <f t="shared" si="10"/>
      </c>
      <c r="P12" s="57">
        <f t="shared" si="11"/>
      </c>
      <c r="Q12" s="57">
        <f t="shared" si="12"/>
      </c>
      <c r="R12" s="57">
        <f t="shared" si="13"/>
      </c>
      <c r="S12" s="57">
        <f t="shared" si="14"/>
      </c>
      <c r="T12" s="57">
        <f t="shared" si="15"/>
      </c>
      <c r="U12" s="57">
        <f t="shared" si="16"/>
      </c>
      <c r="V12" s="57">
        <f t="shared" si="17"/>
      </c>
    </row>
    <row r="13" spans="1:22" ht="12.75">
      <c r="A13" s="94"/>
      <c r="B13" s="53"/>
      <c r="C13" s="95"/>
      <c r="D13" s="96">
        <f t="shared" si="1"/>
      </c>
      <c r="E13" s="57">
        <f t="shared" si="2"/>
      </c>
      <c r="F13" s="57">
        <f t="shared" si="3"/>
      </c>
      <c r="G13" s="97">
        <f t="shared" si="4"/>
      </c>
      <c r="H13" s="57">
        <f t="shared" si="0"/>
      </c>
      <c r="J13" s="57">
        <f t="shared" si="5"/>
      </c>
      <c r="K13" s="57">
        <f t="shared" si="6"/>
      </c>
      <c r="L13" s="57">
        <f t="shared" si="7"/>
      </c>
      <c r="M13" s="57">
        <f t="shared" si="8"/>
      </c>
      <c r="N13" s="57">
        <f t="shared" si="9"/>
      </c>
      <c r="O13" s="57">
        <f t="shared" si="10"/>
      </c>
      <c r="P13" s="57">
        <f t="shared" si="11"/>
      </c>
      <c r="Q13" s="57">
        <f t="shared" si="12"/>
      </c>
      <c r="R13" s="57">
        <f t="shared" si="13"/>
      </c>
      <c r="S13" s="57">
        <f t="shared" si="14"/>
      </c>
      <c r="T13" s="57">
        <f t="shared" si="15"/>
      </c>
      <c r="U13" s="57">
        <f t="shared" si="16"/>
      </c>
      <c r="V13" s="57">
        <f t="shared" si="17"/>
      </c>
    </row>
    <row r="14" spans="1:22" ht="12.75">
      <c r="A14" s="94"/>
      <c r="B14" s="53"/>
      <c r="C14" s="95"/>
      <c r="D14" s="96">
        <f t="shared" si="1"/>
      </c>
      <c r="E14" s="57">
        <f t="shared" si="2"/>
      </c>
      <c r="F14" s="57">
        <f t="shared" si="3"/>
      </c>
      <c r="G14" s="97">
        <f t="shared" si="4"/>
      </c>
      <c r="H14" s="57">
        <f t="shared" si="0"/>
      </c>
      <c r="J14" s="57">
        <f t="shared" si="5"/>
      </c>
      <c r="K14" s="57">
        <f t="shared" si="6"/>
      </c>
      <c r="L14" s="57">
        <f t="shared" si="7"/>
      </c>
      <c r="M14" s="57">
        <f t="shared" si="8"/>
      </c>
      <c r="N14" s="57">
        <f t="shared" si="9"/>
      </c>
      <c r="O14" s="57">
        <f t="shared" si="10"/>
      </c>
      <c r="P14" s="57">
        <f t="shared" si="11"/>
      </c>
      <c r="Q14" s="57">
        <f t="shared" si="12"/>
      </c>
      <c r="R14" s="57">
        <f t="shared" si="13"/>
      </c>
      <c r="S14" s="57">
        <f t="shared" si="14"/>
      </c>
      <c r="T14" s="57">
        <f t="shared" si="15"/>
      </c>
      <c r="U14" s="57">
        <f t="shared" si="16"/>
      </c>
      <c r="V14" s="57">
        <f t="shared" si="17"/>
      </c>
    </row>
    <row r="15" spans="1:22" ht="12.75">
      <c r="A15" s="94"/>
      <c r="B15" s="53"/>
      <c r="C15" s="95"/>
      <c r="D15" s="96">
        <f t="shared" si="1"/>
      </c>
      <c r="E15" s="57">
        <f t="shared" si="2"/>
      </c>
      <c r="F15" s="57">
        <f t="shared" si="3"/>
      </c>
      <c r="G15" s="97">
        <f t="shared" si="4"/>
      </c>
      <c r="H15" s="57">
        <f t="shared" si="0"/>
      </c>
      <c r="J15" s="57">
        <f t="shared" si="5"/>
      </c>
      <c r="K15" s="57">
        <f t="shared" si="6"/>
      </c>
      <c r="L15" s="57">
        <f t="shared" si="7"/>
      </c>
      <c r="M15" s="57">
        <f t="shared" si="8"/>
      </c>
      <c r="N15" s="57">
        <f t="shared" si="9"/>
      </c>
      <c r="O15" s="57">
        <f t="shared" si="10"/>
      </c>
      <c r="P15" s="57">
        <f t="shared" si="11"/>
      </c>
      <c r="Q15" s="57">
        <f t="shared" si="12"/>
      </c>
      <c r="R15" s="57">
        <f t="shared" si="13"/>
      </c>
      <c r="S15" s="57">
        <f t="shared" si="14"/>
      </c>
      <c r="T15" s="57">
        <f t="shared" si="15"/>
      </c>
      <c r="U15" s="57">
        <f t="shared" si="16"/>
      </c>
      <c r="V15" s="57">
        <f t="shared" si="17"/>
      </c>
    </row>
    <row r="16" spans="1:22" ht="12.75">
      <c r="A16" s="94"/>
      <c r="B16" s="53"/>
      <c r="C16" s="95"/>
      <c r="D16" s="96">
        <f t="shared" si="1"/>
      </c>
      <c r="E16" s="57">
        <f t="shared" si="2"/>
      </c>
      <c r="F16" s="57">
        <f t="shared" si="3"/>
      </c>
      <c r="G16" s="97">
        <f t="shared" si="4"/>
      </c>
      <c r="H16" s="57">
        <f t="shared" si="0"/>
      </c>
      <c r="J16" s="57">
        <f t="shared" si="5"/>
      </c>
      <c r="K16" s="57">
        <f t="shared" si="6"/>
      </c>
      <c r="L16" s="57">
        <f t="shared" si="7"/>
      </c>
      <c r="M16" s="57">
        <f t="shared" si="8"/>
      </c>
      <c r="N16" s="57">
        <f t="shared" si="9"/>
      </c>
      <c r="O16" s="57">
        <f t="shared" si="10"/>
      </c>
      <c r="P16" s="57">
        <f t="shared" si="11"/>
      </c>
      <c r="Q16" s="57">
        <f t="shared" si="12"/>
      </c>
      <c r="R16" s="57">
        <f t="shared" si="13"/>
      </c>
      <c r="S16" s="57">
        <f t="shared" si="14"/>
      </c>
      <c r="T16" s="57">
        <f t="shared" si="15"/>
      </c>
      <c r="U16" s="57">
        <f t="shared" si="16"/>
      </c>
      <c r="V16" s="57">
        <f t="shared" si="17"/>
      </c>
    </row>
    <row r="17" spans="1:22" ht="12.75">
      <c r="A17" s="94"/>
      <c r="B17" s="53"/>
      <c r="C17" s="95"/>
      <c r="D17" s="96">
        <f t="shared" si="1"/>
      </c>
      <c r="E17" s="57">
        <f t="shared" si="2"/>
      </c>
      <c r="F17" s="57">
        <f t="shared" si="3"/>
      </c>
      <c r="G17" s="97">
        <f t="shared" si="4"/>
      </c>
      <c r="H17" s="57">
        <f t="shared" si="0"/>
      </c>
      <c r="J17" s="57">
        <f t="shared" si="5"/>
      </c>
      <c r="K17" s="57">
        <f t="shared" si="6"/>
      </c>
      <c r="L17" s="57">
        <f t="shared" si="7"/>
      </c>
      <c r="M17" s="57">
        <f t="shared" si="8"/>
      </c>
      <c r="N17" s="57">
        <f t="shared" si="9"/>
      </c>
      <c r="O17" s="57">
        <f t="shared" si="10"/>
      </c>
      <c r="P17" s="57">
        <f t="shared" si="11"/>
      </c>
      <c r="Q17" s="57">
        <f t="shared" si="12"/>
      </c>
      <c r="R17" s="57">
        <f t="shared" si="13"/>
      </c>
      <c r="S17" s="57">
        <f t="shared" si="14"/>
      </c>
      <c r="T17" s="57">
        <f t="shared" si="15"/>
      </c>
      <c r="U17" s="57">
        <f t="shared" si="16"/>
      </c>
      <c r="V17" s="57">
        <f t="shared" si="17"/>
      </c>
    </row>
    <row r="18" spans="1:22" ht="12.75">
      <c r="A18" s="94"/>
      <c r="B18" s="53"/>
      <c r="C18" s="95"/>
      <c r="D18" s="96">
        <f t="shared" si="1"/>
      </c>
      <c r="E18" s="57">
        <f t="shared" si="2"/>
      </c>
      <c r="F18" s="57">
        <f t="shared" si="3"/>
      </c>
      <c r="G18" s="97">
        <f t="shared" si="4"/>
      </c>
      <c r="H18" s="57">
        <f t="shared" si="0"/>
      </c>
      <c r="J18" s="57">
        <f t="shared" si="5"/>
      </c>
      <c r="K18" s="57">
        <f t="shared" si="6"/>
      </c>
      <c r="L18" s="57">
        <f t="shared" si="7"/>
      </c>
      <c r="M18" s="57">
        <f t="shared" si="8"/>
      </c>
      <c r="N18" s="57">
        <f t="shared" si="9"/>
      </c>
      <c r="O18" s="57">
        <f t="shared" si="10"/>
      </c>
      <c r="P18" s="57">
        <f t="shared" si="11"/>
      </c>
      <c r="Q18" s="57">
        <f t="shared" si="12"/>
      </c>
      <c r="R18" s="57">
        <f t="shared" si="13"/>
      </c>
      <c r="S18" s="57">
        <f t="shared" si="14"/>
      </c>
      <c r="T18" s="57">
        <f t="shared" si="15"/>
      </c>
      <c r="U18" s="57">
        <f t="shared" si="16"/>
      </c>
      <c r="V18" s="57">
        <f t="shared" si="17"/>
      </c>
    </row>
    <row r="19" spans="1:22" ht="12.75">
      <c r="A19" s="94"/>
      <c r="B19" s="53"/>
      <c r="C19" s="95"/>
      <c r="D19" s="96">
        <f t="shared" si="1"/>
      </c>
      <c r="E19" s="57">
        <f t="shared" si="2"/>
      </c>
      <c r="F19" s="57">
        <f t="shared" si="3"/>
      </c>
      <c r="G19" s="97">
        <f t="shared" si="4"/>
      </c>
      <c r="H19" s="57">
        <f t="shared" si="0"/>
      </c>
      <c r="J19" s="57">
        <f t="shared" si="5"/>
      </c>
      <c r="K19" s="57">
        <f t="shared" si="6"/>
      </c>
      <c r="L19" s="57">
        <f t="shared" si="7"/>
      </c>
      <c r="M19" s="57">
        <f t="shared" si="8"/>
      </c>
      <c r="N19" s="57">
        <f t="shared" si="9"/>
      </c>
      <c r="O19" s="57">
        <f t="shared" si="10"/>
      </c>
      <c r="P19" s="57">
        <f t="shared" si="11"/>
      </c>
      <c r="Q19" s="57">
        <f t="shared" si="12"/>
      </c>
      <c r="R19" s="57">
        <f t="shared" si="13"/>
      </c>
      <c r="S19" s="57">
        <f t="shared" si="14"/>
      </c>
      <c r="T19" s="57">
        <f t="shared" si="15"/>
      </c>
      <c r="U19" s="57">
        <f t="shared" si="16"/>
      </c>
      <c r="V19" s="57">
        <f t="shared" si="17"/>
      </c>
    </row>
    <row r="20" spans="1:22" ht="12.75">
      <c r="A20" s="94"/>
      <c r="B20" s="53"/>
      <c r="C20" s="95"/>
      <c r="D20" s="96">
        <f t="shared" si="1"/>
      </c>
      <c r="E20" s="57">
        <f t="shared" si="2"/>
      </c>
      <c r="F20" s="57">
        <f t="shared" si="3"/>
      </c>
      <c r="G20" s="97">
        <f t="shared" si="4"/>
      </c>
      <c r="H20" s="57">
        <f t="shared" si="0"/>
      </c>
      <c r="J20" s="57">
        <f t="shared" si="5"/>
      </c>
      <c r="K20" s="57">
        <f t="shared" si="6"/>
      </c>
      <c r="L20" s="57">
        <f t="shared" si="7"/>
      </c>
      <c r="M20" s="57">
        <f t="shared" si="8"/>
      </c>
      <c r="N20" s="57">
        <f t="shared" si="9"/>
      </c>
      <c r="O20" s="57">
        <f t="shared" si="10"/>
      </c>
      <c r="P20" s="57">
        <f t="shared" si="11"/>
      </c>
      <c r="Q20" s="57">
        <f t="shared" si="12"/>
      </c>
      <c r="R20" s="57">
        <f t="shared" si="13"/>
      </c>
      <c r="S20" s="57">
        <f t="shared" si="14"/>
      </c>
      <c r="T20" s="57">
        <f t="shared" si="15"/>
      </c>
      <c r="U20" s="57">
        <f t="shared" si="16"/>
      </c>
      <c r="V20" s="57">
        <f t="shared" si="17"/>
      </c>
    </row>
    <row r="21" spans="1:22" ht="12.75">
      <c r="A21" s="94"/>
      <c r="B21" s="53"/>
      <c r="C21" s="95"/>
      <c r="D21" s="96">
        <f t="shared" si="1"/>
      </c>
      <c r="E21" s="57">
        <f t="shared" si="2"/>
      </c>
      <c r="F21" s="57">
        <f t="shared" si="3"/>
      </c>
      <c r="G21" s="97">
        <f t="shared" si="4"/>
      </c>
      <c r="H21" s="57">
        <f t="shared" si="0"/>
      </c>
      <c r="J21" s="57">
        <f t="shared" si="5"/>
      </c>
      <c r="K21" s="57">
        <f t="shared" si="6"/>
      </c>
      <c r="L21" s="57">
        <f t="shared" si="7"/>
      </c>
      <c r="M21" s="57">
        <f t="shared" si="8"/>
      </c>
      <c r="N21" s="57">
        <f t="shared" si="9"/>
      </c>
      <c r="O21" s="57">
        <f t="shared" si="10"/>
      </c>
      <c r="P21" s="57">
        <f t="shared" si="11"/>
      </c>
      <c r="Q21" s="57">
        <f t="shared" si="12"/>
      </c>
      <c r="R21" s="57">
        <f t="shared" si="13"/>
      </c>
      <c r="S21" s="57">
        <f t="shared" si="14"/>
      </c>
      <c r="T21" s="57">
        <f t="shared" si="15"/>
      </c>
      <c r="U21" s="57">
        <f t="shared" si="16"/>
      </c>
      <c r="V21" s="57">
        <f t="shared" si="17"/>
      </c>
    </row>
    <row r="22" spans="1:22" ht="12.75">
      <c r="A22" s="94"/>
      <c r="B22" s="53"/>
      <c r="C22" s="95"/>
      <c r="D22" s="96">
        <f t="shared" si="1"/>
      </c>
      <c r="E22" s="57">
        <f t="shared" si="2"/>
      </c>
      <c r="F22" s="57">
        <f t="shared" si="3"/>
      </c>
      <c r="G22" s="97">
        <f t="shared" si="4"/>
      </c>
      <c r="H22" s="57">
        <f t="shared" si="0"/>
      </c>
      <c r="J22" s="57">
        <f t="shared" si="5"/>
      </c>
      <c r="K22" s="57">
        <f t="shared" si="6"/>
      </c>
      <c r="L22" s="57">
        <f t="shared" si="7"/>
      </c>
      <c r="M22" s="57">
        <f t="shared" si="8"/>
      </c>
      <c r="N22" s="57">
        <f t="shared" si="9"/>
      </c>
      <c r="O22" s="57">
        <f t="shared" si="10"/>
      </c>
      <c r="P22" s="57">
        <f t="shared" si="11"/>
      </c>
      <c r="Q22" s="57">
        <f t="shared" si="12"/>
      </c>
      <c r="R22" s="57">
        <f t="shared" si="13"/>
      </c>
      <c r="S22" s="57">
        <f t="shared" si="14"/>
      </c>
      <c r="T22" s="57">
        <f t="shared" si="15"/>
      </c>
      <c r="U22" s="57">
        <f t="shared" si="16"/>
      </c>
      <c r="V22" s="57">
        <f t="shared" si="17"/>
      </c>
    </row>
    <row r="23" spans="1:22" ht="12.75">
      <c r="A23" s="94"/>
      <c r="B23" s="53"/>
      <c r="C23" s="95"/>
      <c r="D23" s="96">
        <f t="shared" si="1"/>
      </c>
      <c r="E23" s="57">
        <f t="shared" si="2"/>
      </c>
      <c r="F23" s="57">
        <f t="shared" si="3"/>
      </c>
      <c r="G23" s="97">
        <f t="shared" si="4"/>
      </c>
      <c r="H23" s="57">
        <f t="shared" si="0"/>
      </c>
      <c r="J23" s="57">
        <f t="shared" si="5"/>
      </c>
      <c r="K23" s="57">
        <f t="shared" si="6"/>
      </c>
      <c r="L23" s="57">
        <f t="shared" si="7"/>
      </c>
      <c r="M23" s="57">
        <f t="shared" si="8"/>
      </c>
      <c r="N23" s="57">
        <f t="shared" si="9"/>
      </c>
      <c r="O23" s="57">
        <f t="shared" si="10"/>
      </c>
      <c r="P23" s="57">
        <f t="shared" si="11"/>
      </c>
      <c r="Q23" s="57">
        <f t="shared" si="12"/>
      </c>
      <c r="R23" s="57">
        <f t="shared" si="13"/>
      </c>
      <c r="S23" s="57">
        <f t="shared" si="14"/>
      </c>
      <c r="T23" s="57">
        <f t="shared" si="15"/>
      </c>
      <c r="U23" s="57">
        <f t="shared" si="16"/>
      </c>
      <c r="V23" s="57">
        <f t="shared" si="17"/>
      </c>
    </row>
    <row r="24" spans="2:22" ht="12.75">
      <c r="B24" s="98" t="s">
        <v>331</v>
      </c>
      <c r="C24" s="99"/>
      <c r="D24" s="100"/>
      <c r="E24" s="100">
        <f>SUM(E2:E23)</f>
        <v>0</v>
      </c>
      <c r="F24" s="100">
        <f>SUM(F2:F23)</f>
        <v>0</v>
      </c>
      <c r="G24" s="101">
        <f>SUM(G2:G23)</f>
        <v>0</v>
      </c>
      <c r="J24" s="57">
        <f aca="true" t="shared" si="18" ref="J24:V24">SUM(J2:J23)</f>
        <v>0</v>
      </c>
      <c r="K24" s="57">
        <f t="shared" si="18"/>
        <v>0</v>
      </c>
      <c r="L24" s="57">
        <f t="shared" si="18"/>
        <v>0</v>
      </c>
      <c r="M24" s="57">
        <f t="shared" si="18"/>
        <v>0</v>
      </c>
      <c r="N24" s="57">
        <f t="shared" si="18"/>
        <v>0</v>
      </c>
      <c r="O24" s="57">
        <f t="shared" si="18"/>
        <v>0</v>
      </c>
      <c r="P24" s="57">
        <f t="shared" si="18"/>
        <v>0</v>
      </c>
      <c r="Q24" s="57">
        <f t="shared" si="18"/>
        <v>0</v>
      </c>
      <c r="R24" s="57">
        <f t="shared" si="18"/>
        <v>0</v>
      </c>
      <c r="S24" s="57">
        <f t="shared" si="18"/>
        <v>0</v>
      </c>
      <c r="T24" s="57" t="e">
        <f>MAX(T2:T23)</f>
        <v>#VALUE!</v>
      </c>
      <c r="U24" s="57">
        <f t="shared" si="18"/>
        <v>0</v>
      </c>
      <c r="V24" s="57">
        <f t="shared" si="18"/>
        <v>0</v>
      </c>
    </row>
    <row r="25" spans="2:8" ht="12.75">
      <c r="B25" s="98" t="s">
        <v>332</v>
      </c>
      <c r="C25" s="99"/>
      <c r="D25" s="100"/>
      <c r="E25" s="69">
        <f>Cyberparts!G10</f>
        <v>0</v>
      </c>
      <c r="F25" s="102"/>
      <c r="G25" s="101">
        <f>SUM(Cyberparts!P2:P3)</f>
        <v>0</v>
      </c>
      <c r="H25" s="72"/>
    </row>
    <row r="26" spans="2:7" ht="12.75">
      <c r="B26" s="71" t="s">
        <v>333</v>
      </c>
      <c r="C26" s="71"/>
      <c r="D26" s="71"/>
      <c r="E26" s="69">
        <f>SUM(E24:E25)*IF(ISERROR(MATCH("Sensitive System",Main_Sheet!O33:O46,0)),1,2)</f>
        <v>0</v>
      </c>
      <c r="F26" s="103"/>
      <c r="G26" s="104"/>
    </row>
    <row r="27" spans="2:7" ht="12.75">
      <c r="B27" s="73" t="s">
        <v>44</v>
      </c>
      <c r="C27" s="74"/>
      <c r="D27" s="105"/>
      <c r="E27" s="106">
        <f>IF(E26&gt;F24,E26,E26/2)</f>
        <v>0</v>
      </c>
      <c r="F27" s="106">
        <f>IF(E26&gt;F24,F24/2,F24)</f>
        <v>0</v>
      </c>
      <c r="G27" s="107">
        <f>SUM(G24:G25)</f>
        <v>0</v>
      </c>
    </row>
  </sheetData>
  <sheetProtection sheet="1" objects="1" scenarios="1"/>
  <mergeCells count="1">
    <mergeCell ref="B26:D26"/>
  </mergeCells>
  <conditionalFormatting sqref="D2:D23">
    <cfRule type="expression" priority="1" dxfId="3" stopIfTrue="1">
      <formula>AND($D2&gt;12,$D2&lt;&gt;"")</formula>
    </cfRule>
  </conditionalFormatting>
  <conditionalFormatting sqref="E27">
    <cfRule type="cellIs" priority="2" dxfId="11" operator="greaterThanOrEqual" stopIfTrue="1">
      <formula>6</formula>
    </cfRule>
  </conditionalFormatting>
  <conditionalFormatting sqref="B2:B23">
    <cfRule type="expression" priority="3" dxfId="12" stopIfTrue="1">
      <formula>AND(A2&lt;&gt;"",VLOOKUP(A2,Complete_Ware_Table,5,FALSE)="")</formula>
    </cfRule>
  </conditionalFormatting>
  <dataValidations count="3">
    <dataValidation type="list" showErrorMessage="1" errorTitle="Pick Valid Cyberware/Bioware" sqref="A2:A23">
      <formula1>Cyber</formula1>
      <formula2>0</formula2>
    </dataValidation>
    <dataValidation type="list" allowBlank="1" showErrorMessage="1" sqref="B2:B23">
      <formula1>Rating</formula1>
      <formula2>0</formula2>
    </dataValidation>
    <dataValidation type="list" allowBlank="1" showErrorMessage="1" errorTitle="Grade of Cyberware/Bioware" sqref="C2:C23">
      <formula1>Grade</formula1>
      <formula2>0</formula2>
    </dataValidation>
  </dataValidations>
  <printOptions/>
  <pageMargins left="0.7479166666666667" right="0.7479166666666667" top="0.9840277777777778" bottom="0.9840277777777778" header="0.5118055555555556" footer="0.5118055555555556"/>
  <pageSetup fitToHeight="1" fitToWidth="1" horizontalDpi="300" verticalDpi="300" orientation="landscape"/>
  <legacyDrawing r:id="rId2"/>
</worksheet>
</file>

<file path=xl/worksheets/sheet6.xml><?xml version="1.0" encoding="utf-8"?>
<worksheet xmlns="http://schemas.openxmlformats.org/spreadsheetml/2006/main" xmlns:r="http://schemas.openxmlformats.org/officeDocument/2006/relationships">
  <sheetPr codeName="Sheet6">
    <pageSetUpPr fitToPage="1"/>
  </sheetPr>
  <dimension ref="A1:X52"/>
  <sheetViews>
    <sheetView showGridLines="0" workbookViewId="0" topLeftCell="A1">
      <selection activeCell="B2" sqref="B2"/>
    </sheetView>
  </sheetViews>
  <sheetFormatPr defaultColWidth="9.140625" defaultRowHeight="12.75"/>
  <cols>
    <col min="1" max="1" width="11.57421875" style="1" customWidth="1"/>
    <col min="2" max="2" width="14.421875" style="1" customWidth="1"/>
    <col min="3" max="3" width="6.28125" style="1" customWidth="1"/>
    <col min="4" max="4" width="6.00390625" style="1" customWidth="1"/>
    <col min="5" max="5" width="5.421875" style="1" customWidth="1"/>
    <col min="6" max="6" width="8.57421875" style="1" customWidth="1"/>
    <col min="7" max="7" width="5.28125" style="1" customWidth="1"/>
    <col min="8" max="8" width="9.57421875" style="1" customWidth="1"/>
    <col min="9" max="12" width="4.140625" style="11" customWidth="1"/>
    <col min="13" max="13" width="6.421875" style="1" customWidth="1"/>
    <col min="14" max="14" width="6.140625" style="1" customWidth="1"/>
    <col min="15" max="15" width="5.421875" style="1" customWidth="1"/>
    <col min="16" max="16" width="10.00390625" style="1" customWidth="1"/>
    <col min="17" max="24" width="0" style="1" hidden="1" customWidth="1"/>
    <col min="25" max="16384" width="9.140625" style="1" customWidth="1"/>
  </cols>
  <sheetData>
    <row r="1" spans="1:16" ht="12.75">
      <c r="A1" s="64" t="s">
        <v>334</v>
      </c>
      <c r="B1" s="64" t="s">
        <v>335</v>
      </c>
      <c r="C1" s="64"/>
      <c r="D1" s="108" t="s">
        <v>336</v>
      </c>
      <c r="E1" s="108" t="s">
        <v>337</v>
      </c>
      <c r="F1" s="109" t="s">
        <v>325</v>
      </c>
      <c r="G1" s="109" t="s">
        <v>338</v>
      </c>
      <c r="H1" s="109" t="s">
        <v>328</v>
      </c>
      <c r="P1" s="65" t="s">
        <v>328</v>
      </c>
    </row>
    <row r="2" spans="1:16" s="25" customFormat="1" ht="12.75">
      <c r="A2" s="110" t="s">
        <v>339</v>
      </c>
      <c r="B2" s="50"/>
      <c r="C2" s="50"/>
      <c r="D2" s="111">
        <f aca="true" t="shared" si="0" ref="D2:D9">IF($B2="","",(VLOOKUP($B2,Complete_Cyberparts,2,FALSE)))</f>
      </c>
      <c r="E2" s="112">
        <f aca="true" t="shared" si="1" ref="E2:E9">IF($B2="","",(VLOOKUP($B2,Complete_Cyberparts,4,FALSE)))</f>
      </c>
      <c r="F2" s="113"/>
      <c r="G2" s="114">
        <f aca="true" t="shared" si="2" ref="G2:G9">IF($B2="","",(VLOOKUP($B2,Complete_Cyberparts,3,FALSE))*IF($B2="","",IF($F2="Alpha",0.8,IF($F2="Beta",0.7,IF($F2="Delta",0.5,1)))))</f>
      </c>
      <c r="H2" s="97">
        <f aca="true" t="shared" si="3" ref="H2:H9">IF($B2="","",(VLOOKUP($B2,Complete_Cyberparts,6,FALSE))*IF($F2="Alpha",2,IF($F2="Beta",4,IF($F2="Delta",10,1))))</f>
      </c>
      <c r="I2" s="115"/>
      <c r="J2" s="115"/>
      <c r="K2" s="115"/>
      <c r="L2" s="115"/>
      <c r="M2" s="1"/>
      <c r="O2" s="19" t="s">
        <v>340</v>
      </c>
      <c r="P2" s="116">
        <f>H10</f>
        <v>0</v>
      </c>
    </row>
    <row r="3" spans="1:16" ht="12.75">
      <c r="A3" s="117" t="s">
        <v>341</v>
      </c>
      <c r="B3" s="95"/>
      <c r="C3" s="95"/>
      <c r="D3" s="118">
        <f t="shared" si="0"/>
      </c>
      <c r="E3" s="68">
        <f t="shared" si="1"/>
      </c>
      <c r="F3" s="119"/>
      <c r="G3" s="57">
        <f t="shared" si="2"/>
      </c>
      <c r="H3" s="97">
        <f t="shared" si="3"/>
      </c>
      <c r="I3" s="93" t="s">
        <v>342</v>
      </c>
      <c r="J3" s="93" t="s">
        <v>343</v>
      </c>
      <c r="K3" s="93" t="s">
        <v>344</v>
      </c>
      <c r="L3" s="93" t="s">
        <v>345</v>
      </c>
      <c r="O3" s="19" t="s">
        <v>346</v>
      </c>
      <c r="P3" s="120">
        <f>F22+P22+F32+P32+F42+P42+F52+P52</f>
        <v>0</v>
      </c>
    </row>
    <row r="4" spans="1:16" ht="12.75">
      <c r="A4" s="117" t="s">
        <v>347</v>
      </c>
      <c r="B4" s="95"/>
      <c r="C4" s="95"/>
      <c r="D4" s="118">
        <f t="shared" si="0"/>
      </c>
      <c r="E4" s="68">
        <f t="shared" si="1"/>
      </c>
      <c r="F4" s="119"/>
      <c r="G4" s="57">
        <f t="shared" si="2"/>
      </c>
      <c r="H4" s="97">
        <f t="shared" si="3"/>
      </c>
      <c r="I4" s="68">
        <f>IF($B4="","",3+SUM(Q25:Q31))</f>
      </c>
      <c r="J4" s="68">
        <f>IF($B4="","",3+SUM(R25:R31))</f>
      </c>
      <c r="K4" s="68">
        <f>IF($B4="","",3+SUM(S25:S31))</f>
      </c>
      <c r="L4" s="68">
        <f>IF($B4="","",3+SUM(T25:T31))</f>
      </c>
      <c r="O4" s="19" t="s">
        <v>348</v>
      </c>
      <c r="P4" s="121">
        <f>Main_Sheet!B4</f>
        <v>10</v>
      </c>
    </row>
    <row r="5" spans="1:12" ht="12.75">
      <c r="A5" s="117" t="s">
        <v>349</v>
      </c>
      <c r="B5" s="95"/>
      <c r="C5" s="95"/>
      <c r="D5" s="118">
        <f t="shared" si="0"/>
      </c>
      <c r="E5" s="68">
        <f t="shared" si="1"/>
      </c>
      <c r="F5" s="119"/>
      <c r="G5" s="57">
        <f t="shared" si="2"/>
      </c>
      <c r="H5" s="97">
        <f t="shared" si="3"/>
      </c>
      <c r="I5" s="68">
        <f>IF($B5="","",3+SUM(U$25:U$31))</f>
      </c>
      <c r="J5" s="68">
        <f>IF($B5="","",3+SUM(V$25:V$31))</f>
      </c>
      <c r="K5" s="68">
        <f>IF($B5="","",3+SUM(W$25:W$31))</f>
      </c>
      <c r="L5" s="68">
        <f>IF($B5="","",3+SUM(X$25:X$31))</f>
      </c>
    </row>
    <row r="6" spans="1:12" ht="12.75">
      <c r="A6" s="117" t="s">
        <v>350</v>
      </c>
      <c r="B6" s="95"/>
      <c r="C6" s="95"/>
      <c r="D6" s="118">
        <f t="shared" si="0"/>
      </c>
      <c r="E6" s="68">
        <f t="shared" si="1"/>
      </c>
      <c r="F6" s="119"/>
      <c r="G6" s="57">
        <f t="shared" si="2"/>
      </c>
      <c r="H6" s="97">
        <f t="shared" si="3"/>
      </c>
      <c r="I6" s="68">
        <f>IF($B6="","",3+SUM(Q35:Q41))</f>
      </c>
      <c r="J6" s="68">
        <f>IF($B6="","",3+SUM(R35:R41))</f>
      </c>
      <c r="K6" s="68">
        <f>IF($B6="","",3+SUM(S35:S41))</f>
      </c>
      <c r="L6" s="68">
        <f>IF($B6="","",3+SUM(T35:T41))</f>
      </c>
    </row>
    <row r="7" spans="1:16" ht="12.75">
      <c r="A7" s="117" t="s">
        <v>351</v>
      </c>
      <c r="B7" s="95"/>
      <c r="C7" s="95"/>
      <c r="D7" s="118">
        <f t="shared" si="0"/>
      </c>
      <c r="E7" s="68">
        <f t="shared" si="1"/>
      </c>
      <c r="F7" s="119"/>
      <c r="G7" s="57">
        <f t="shared" si="2"/>
      </c>
      <c r="H7" s="97">
        <f t="shared" si="3"/>
      </c>
      <c r="I7" s="68">
        <f>IF($B7="","",3+SUM(U$25:U$31))</f>
      </c>
      <c r="J7" s="68">
        <f>IF($B7="","",3+SUM(V$35:V$41))</f>
      </c>
      <c r="K7" s="68">
        <f>IF($B7="","",3+SUM(W$35:W$41))</f>
      </c>
      <c r="L7" s="68">
        <f>IF($B7="","",3+SUM(X$35:X$41))</f>
      </c>
      <c r="P7" s="65" t="s">
        <v>352</v>
      </c>
    </row>
    <row r="8" spans="1:16" ht="12.75">
      <c r="A8" s="117" t="s">
        <v>353</v>
      </c>
      <c r="B8" s="95"/>
      <c r="C8" s="95"/>
      <c r="D8" s="118">
        <f t="shared" si="0"/>
      </c>
      <c r="E8" s="68">
        <f t="shared" si="1"/>
      </c>
      <c r="F8" s="119"/>
      <c r="G8" s="57">
        <f t="shared" si="2"/>
      </c>
      <c r="H8" s="97">
        <f t="shared" si="3"/>
      </c>
      <c r="I8" s="68">
        <f>IF($B8="","",3+SUM(Q45:Q51))</f>
      </c>
      <c r="J8" s="68">
        <f>IF($B8="","",3+SUM(R45:R51))</f>
      </c>
      <c r="K8" s="68">
        <f>IF($B8="","",3+SUM(S45:S51))</f>
      </c>
      <c r="L8" s="68">
        <f>IF($B8="","",3+SUM(T45:T51))</f>
      </c>
      <c r="O8" s="19" t="s">
        <v>354</v>
      </c>
      <c r="P8" s="57">
        <f>Cyberware_Bioware!F27</f>
        <v>0</v>
      </c>
    </row>
    <row r="9" spans="1:16" ht="12.75">
      <c r="A9" s="122" t="s">
        <v>355</v>
      </c>
      <c r="B9" s="95"/>
      <c r="C9" s="95"/>
      <c r="D9" s="118">
        <f t="shared" si="0"/>
      </c>
      <c r="E9" s="68">
        <f t="shared" si="1"/>
      </c>
      <c r="F9" s="119"/>
      <c r="G9" s="57">
        <f t="shared" si="2"/>
      </c>
      <c r="H9" s="97">
        <f t="shared" si="3"/>
      </c>
      <c r="I9" s="68">
        <f>IF($B9="","",3+SUM(U$45:U$51))</f>
      </c>
      <c r="J9" s="68">
        <f>IF($B9="","",3+SUM(V$45:V$51))</f>
      </c>
      <c r="K9" s="68">
        <f>IF($B9="","",3+SUM(W$45:W$51))</f>
      </c>
      <c r="L9" s="68">
        <f>IF($B9="","",3+SUM(X$45:X$51))</f>
      </c>
      <c r="O9" s="19" t="s">
        <v>356</v>
      </c>
      <c r="P9" s="123">
        <f>Cyberware_Bioware!E27</f>
        <v>0</v>
      </c>
    </row>
    <row r="10" spans="3:16" ht="12.75">
      <c r="C10" s="124"/>
      <c r="F10" s="110" t="s">
        <v>44</v>
      </c>
      <c r="G10" s="69">
        <f>SUM(G2:G9)</f>
        <v>0</v>
      </c>
      <c r="H10" s="125">
        <f>SUM(H2:H9)</f>
        <v>0</v>
      </c>
      <c r="O10" s="9" t="s">
        <v>44</v>
      </c>
      <c r="P10" s="126">
        <f>SUM(P8:P9)</f>
        <v>0</v>
      </c>
    </row>
    <row r="11" spans="3:24" ht="12.75">
      <c r="C11" s="55"/>
      <c r="N11" s="1">
        <f>IF($C11="","",3)</f>
      </c>
      <c r="Q11" s="1">
        <f>IF($C11="","",M11+K11)</f>
      </c>
      <c r="R11" s="1">
        <f>IF($C11="","",#REF!+#REF!)</f>
      </c>
      <c r="S11" s="1">
        <f>IF($C11="","",#REF!+#REF!)</f>
      </c>
      <c r="T11" s="1">
        <f>IF($C11="","",#REF!+#REF!)</f>
      </c>
      <c r="U11" s="1">
        <f>IF($C11="","",P11+N11)</f>
      </c>
      <c r="V11" s="1">
        <f>IF($C11="","",#REF!+#REF!)</f>
      </c>
      <c r="W11" s="1">
        <f>IF($C11="","",#REF!+#REF!)</f>
      </c>
      <c r="X11" s="1">
        <f>IF($C11="","",#REF!+#REF!)</f>
      </c>
    </row>
    <row r="12" spans="1:16" ht="12.75">
      <c r="A12" s="127" t="str">
        <f>A2&amp;IF(F2="","",IF(F2="Std."," (Std. Grade)"," ("&amp;F2&amp;"ware)"))</f>
        <v>Cyber Eyes</v>
      </c>
      <c r="D12" s="24">
        <f>IF(F12="","","Capacity Used:")</f>
      </c>
      <c r="E12" s="128">
        <f>IF(F12="","",SUM(E14:E21))</f>
      </c>
      <c r="F12" s="129">
        <f>D2</f>
      </c>
      <c r="H12" s="127" t="str">
        <f>A3&amp;IF(F3="","",IF(F3="Std."," (Std. Grade)"," ("&amp;F3&amp;"ware)"))</f>
        <v>Cyber Ears</v>
      </c>
      <c r="N12" s="24">
        <f>IF(P12="","","Capacity Used:")</f>
      </c>
      <c r="O12" s="128">
        <f>IF(P12="","",SUM(O14:O21))</f>
      </c>
      <c r="P12" s="129">
        <f>D3</f>
      </c>
    </row>
    <row r="13" spans="1:16" ht="12.75">
      <c r="A13" s="64" t="s">
        <v>346</v>
      </c>
      <c r="B13" s="64"/>
      <c r="C13" s="108" t="s">
        <v>299</v>
      </c>
      <c r="D13" s="108" t="s">
        <v>337</v>
      </c>
      <c r="E13" s="65" t="s">
        <v>336</v>
      </c>
      <c r="F13" s="93" t="s">
        <v>328</v>
      </c>
      <c r="H13" s="64" t="s">
        <v>346</v>
      </c>
      <c r="I13" s="64"/>
      <c r="J13" s="64"/>
      <c r="K13" s="64"/>
      <c r="L13" s="64"/>
      <c r="M13" s="108" t="s">
        <v>299</v>
      </c>
      <c r="N13" s="108" t="s">
        <v>337</v>
      </c>
      <c r="O13" s="65" t="s">
        <v>336</v>
      </c>
      <c r="P13" s="93" t="s">
        <v>328</v>
      </c>
    </row>
    <row r="14" spans="1:16" ht="12.75">
      <c r="A14" s="130"/>
      <c r="B14" s="130"/>
      <c r="C14" s="53"/>
      <c r="D14" s="68">
        <f>IF(A14="","",(VLOOKUP(A14,Complete_CyberAccessories,4,FALSE))*(IF(C14="",1,IF(ISERR(FIND("A",VLOOKUP(A14,Complete_CyberAccessories,5,FALSE))),C14,1))))</f>
      </c>
      <c r="E14" s="68">
        <f>IF(A14="","",(VLOOKUP(A14,Complete_CyberAccessories,2,FALSE))*(IF(C14="",1,IF(ISERR(FIND("C",VLOOKUP(A14,Complete_CyberAccessories,5,FALSE))),C14,1))))</f>
      </c>
      <c r="F14" s="97">
        <f>IF(A14="","",(VLOOKUP(A14,Complete_CyberAccessories,6,FALSE))*IF($F$2="Alpha",2,IF($F$2="Beta",4,IF($F$2="Delta",10,1)))*(IF(C14="",1,C14)))</f>
      </c>
      <c r="H14" s="95"/>
      <c r="I14" s="95"/>
      <c r="J14" s="95"/>
      <c r="K14" s="95"/>
      <c r="L14" s="95"/>
      <c r="M14" s="53"/>
      <c r="N14" s="57">
        <f>IF(H14="","",(VLOOKUP(H14,Complete_CyberAccessories,4,FALSE))*(IF(M14="",1,IF(ISERR(FIND("A",VLOOKUP(H14,Complete_CyberAccessories,5,FALSE))),M14,1))))</f>
      </c>
      <c r="O14" s="57">
        <f>IF(H14="","",(VLOOKUP(H14,Complete_CyberAccessories,2,FALSE))*(IF(M14="",1,IF(ISERR(FIND("C",VLOOKUP(H14,Complete_CyberAccessories,5,FALSE))),M14,1))))</f>
      </c>
      <c r="P14" s="97">
        <f>IF(H14="","",(VLOOKUP(H14,Complete_CyberAccessories,6,FALSE))*IF($F$3="Alpha",2,IF($F$3="Beta",4,IF($F$3="Delta",10,1)))*(IF(M14="",1,M14)))</f>
      </c>
    </row>
    <row r="15" spans="1:16" ht="12.75">
      <c r="A15" s="130"/>
      <c r="B15" s="130"/>
      <c r="C15" s="53"/>
      <c r="D15" s="68">
        <f aca="true" t="shared" si="4" ref="D15:D21">IF(A15="","",(VLOOKUP(A15,Complete_CyberAccessories,4,FALSE))*(IF(C15="",1,IF(ISERR(FIND("A",VLOOKUP(A15,Complete_CyberAccessories,5,FALSE))),C15,1))))</f>
      </c>
      <c r="E15" s="68">
        <f aca="true" t="shared" si="5" ref="E15:E21">IF(A15="","",(VLOOKUP(A15,Complete_CyberAccessories,2,FALSE))*(IF(C15="",1,IF(ISERR(FIND("C",VLOOKUP(A15,Complete_CyberAccessories,5,FALSE))),C15,1))))</f>
      </c>
      <c r="F15" s="97">
        <f aca="true" t="shared" si="6" ref="F15:F21">IF(A15="","",(VLOOKUP(A15,Complete_CyberAccessories,6,FALSE))*IF($F$2="Alpha",2,IF($F$2="Beta",4,IF($F$2="Delta",10,1)))*(IF(C15="",1,C15)))</f>
      </c>
      <c r="H15" s="95"/>
      <c r="I15" s="95"/>
      <c r="J15" s="95"/>
      <c r="K15" s="95"/>
      <c r="L15" s="95"/>
      <c r="M15" s="53"/>
      <c r="N15" s="57">
        <f aca="true" t="shared" si="7" ref="N15:N21">IF(H15="","",(VLOOKUP(H15,Complete_CyberAccessories,4,FALSE))*(IF(M15="",1,IF(ISERR(FIND("A",VLOOKUP(H15,Complete_CyberAccessories,5,FALSE))),M15,1))))</f>
      </c>
      <c r="O15" s="57">
        <f aca="true" t="shared" si="8" ref="O15:O21">IF(H15="","",(VLOOKUP(H15,Complete_CyberAccessories,2,FALSE))*(IF(M15="",1,IF(ISERR(FIND("C",VLOOKUP(H15,Complete_CyberAccessories,5,FALSE))),M15,1))))</f>
      </c>
      <c r="P15" s="97">
        <f aca="true" t="shared" si="9" ref="P15:P21">IF(H15="","",(VLOOKUP(H15,Complete_CyberAccessories,6,FALSE))*IF($F$3="Alpha",2,IF($F$3="Beta",4,IF($F$3="Delta",10,1)))*(IF(M15="",1,M15)))</f>
      </c>
    </row>
    <row r="16" spans="1:16" ht="12.75">
      <c r="A16" s="130"/>
      <c r="B16" s="130"/>
      <c r="C16" s="53"/>
      <c r="D16" s="68">
        <f t="shared" si="4"/>
      </c>
      <c r="E16" s="68">
        <f t="shared" si="5"/>
      </c>
      <c r="F16" s="97">
        <f t="shared" si="6"/>
      </c>
      <c r="H16" s="95"/>
      <c r="I16" s="95"/>
      <c r="J16" s="95"/>
      <c r="K16" s="95"/>
      <c r="L16" s="95"/>
      <c r="M16" s="53"/>
      <c r="N16" s="57">
        <f t="shared" si="7"/>
      </c>
      <c r="O16" s="57">
        <f t="shared" si="8"/>
      </c>
      <c r="P16" s="97">
        <f t="shared" si="9"/>
      </c>
    </row>
    <row r="17" spans="1:16" ht="12.75">
      <c r="A17" s="130"/>
      <c r="B17" s="130"/>
      <c r="C17" s="53"/>
      <c r="D17" s="68">
        <f t="shared" si="4"/>
      </c>
      <c r="E17" s="68">
        <f t="shared" si="5"/>
      </c>
      <c r="F17" s="97">
        <f t="shared" si="6"/>
      </c>
      <c r="H17" s="95"/>
      <c r="I17" s="95"/>
      <c r="J17" s="95"/>
      <c r="K17" s="95"/>
      <c r="L17" s="95"/>
      <c r="M17" s="53"/>
      <c r="N17" s="57">
        <f t="shared" si="7"/>
      </c>
      <c r="O17" s="57">
        <f t="shared" si="8"/>
      </c>
      <c r="P17" s="97">
        <f t="shared" si="9"/>
      </c>
    </row>
    <row r="18" spans="1:16" ht="12.75">
      <c r="A18" s="130"/>
      <c r="B18" s="130"/>
      <c r="C18" s="53"/>
      <c r="D18" s="68">
        <f t="shared" si="4"/>
      </c>
      <c r="E18" s="68">
        <f t="shared" si="5"/>
      </c>
      <c r="F18" s="97">
        <f t="shared" si="6"/>
      </c>
      <c r="H18" s="95"/>
      <c r="I18" s="95"/>
      <c r="J18" s="95"/>
      <c r="K18" s="95"/>
      <c r="L18" s="95"/>
      <c r="M18" s="53"/>
      <c r="N18" s="57">
        <f t="shared" si="7"/>
      </c>
      <c r="O18" s="57">
        <f t="shared" si="8"/>
      </c>
      <c r="P18" s="97">
        <f t="shared" si="9"/>
      </c>
    </row>
    <row r="19" spans="1:16" ht="12.75">
      <c r="A19" s="130"/>
      <c r="B19" s="130"/>
      <c r="C19" s="53"/>
      <c r="D19" s="68">
        <f t="shared" si="4"/>
      </c>
      <c r="E19" s="68">
        <f t="shared" si="5"/>
      </c>
      <c r="F19" s="97">
        <f t="shared" si="6"/>
      </c>
      <c r="H19" s="95"/>
      <c r="I19" s="95"/>
      <c r="J19" s="95"/>
      <c r="K19" s="95"/>
      <c r="L19" s="95"/>
      <c r="M19" s="53"/>
      <c r="N19" s="57">
        <f t="shared" si="7"/>
      </c>
      <c r="O19" s="57">
        <f t="shared" si="8"/>
      </c>
      <c r="P19" s="97">
        <f t="shared" si="9"/>
      </c>
    </row>
    <row r="20" spans="1:16" ht="12.75">
      <c r="A20" s="130"/>
      <c r="B20" s="130"/>
      <c r="C20" s="53"/>
      <c r="D20" s="68">
        <f t="shared" si="4"/>
      </c>
      <c r="E20" s="68">
        <f t="shared" si="5"/>
      </c>
      <c r="F20" s="97">
        <f t="shared" si="6"/>
      </c>
      <c r="H20" s="95"/>
      <c r="I20" s="95"/>
      <c r="J20" s="95"/>
      <c r="K20" s="95"/>
      <c r="L20" s="95"/>
      <c r="M20" s="53"/>
      <c r="N20" s="57">
        <f t="shared" si="7"/>
      </c>
      <c r="O20" s="57">
        <f t="shared" si="8"/>
      </c>
      <c r="P20" s="97">
        <f t="shared" si="9"/>
      </c>
    </row>
    <row r="21" spans="1:16" ht="12.75">
      <c r="A21" s="95"/>
      <c r="B21" s="95"/>
      <c r="C21" s="53"/>
      <c r="D21" s="68">
        <f t="shared" si="4"/>
      </c>
      <c r="E21" s="68">
        <f t="shared" si="5"/>
      </c>
      <c r="F21" s="97">
        <f t="shared" si="6"/>
      </c>
      <c r="H21" s="95"/>
      <c r="I21" s="95"/>
      <c r="J21" s="95"/>
      <c r="K21" s="95"/>
      <c r="L21" s="95"/>
      <c r="M21" s="53"/>
      <c r="N21" s="57">
        <f t="shared" si="7"/>
      </c>
      <c r="O21" s="57">
        <f t="shared" si="8"/>
      </c>
      <c r="P21" s="97">
        <f t="shared" si="9"/>
      </c>
    </row>
    <row r="22" spans="1:16" ht="12.75">
      <c r="A22" s="55"/>
      <c r="C22" s="5"/>
      <c r="E22" s="131" t="s">
        <v>44</v>
      </c>
      <c r="F22" s="132">
        <f>SUM(F14:F21)</f>
        <v>0</v>
      </c>
      <c r="H22" s="124"/>
      <c r="O22" s="133" t="s">
        <v>44</v>
      </c>
      <c r="P22" s="132">
        <f>SUM(P14:P21)</f>
        <v>0</v>
      </c>
    </row>
    <row r="23" spans="1:21" s="1" customFormat="1" ht="12.75">
      <c r="A23" s="127" t="str">
        <f>A4&amp;IF(F4="","",IF(F4="Std."," (Std. Grade)"," ("&amp;F4&amp;"ware)"))</f>
        <v>Left Arm</v>
      </c>
      <c r="D23" s="24">
        <f>IF(F23="","","Capacity Used:")</f>
      </c>
      <c r="E23" s="128">
        <f>IF(F23="","",SUM(E25:E31))</f>
      </c>
      <c r="F23" s="129">
        <f>D4</f>
      </c>
      <c r="H23" s="127" t="str">
        <f>A5&amp;IF(F5="","",IF(F5="Std."," (Std. Grade)"," ("&amp;F5&amp;"ware)"))</f>
        <v>Right Arm</v>
      </c>
      <c r="L23" s="11"/>
      <c r="N23" s="24">
        <f>IF(P23="","","Capacity Used:")</f>
      </c>
      <c r="O23" s="128">
        <f>IF(P23="","",SUM(O25:O31))</f>
      </c>
      <c r="P23" s="129">
        <f>D5</f>
      </c>
      <c r="Q23" s="1" t="s">
        <v>347</v>
      </c>
      <c r="U23" s="1" t="s">
        <v>349</v>
      </c>
    </row>
    <row r="24" spans="1:24" ht="12.75">
      <c r="A24" s="64" t="s">
        <v>346</v>
      </c>
      <c r="B24" s="64"/>
      <c r="C24" s="108" t="s">
        <v>299</v>
      </c>
      <c r="D24" s="108" t="s">
        <v>337</v>
      </c>
      <c r="E24" s="65" t="s">
        <v>336</v>
      </c>
      <c r="F24" s="93" t="s">
        <v>328</v>
      </c>
      <c r="H24" s="64" t="s">
        <v>346</v>
      </c>
      <c r="I24" s="64"/>
      <c r="J24" s="64"/>
      <c r="K24" s="64"/>
      <c r="L24" s="64"/>
      <c r="M24" s="108" t="s">
        <v>299</v>
      </c>
      <c r="N24" s="108" t="s">
        <v>337</v>
      </c>
      <c r="O24" s="65" t="s">
        <v>336</v>
      </c>
      <c r="P24" s="93" t="s">
        <v>328</v>
      </c>
      <c r="Q24" s="134" t="s">
        <v>13</v>
      </c>
      <c r="R24" s="135" t="s">
        <v>18</v>
      </c>
      <c r="S24" s="135" t="s">
        <v>23</v>
      </c>
      <c r="T24" s="135" t="s">
        <v>357</v>
      </c>
      <c r="U24" s="134" t="s">
        <v>13</v>
      </c>
      <c r="V24" s="135" t="s">
        <v>18</v>
      </c>
      <c r="W24" s="135" t="s">
        <v>23</v>
      </c>
      <c r="X24" s="135" t="s">
        <v>357</v>
      </c>
    </row>
    <row r="25" spans="1:24" ht="12.75">
      <c r="A25" s="95"/>
      <c r="B25" s="95"/>
      <c r="C25" s="53"/>
      <c r="D25" s="68">
        <f>IF(A25="","",(VLOOKUP(A25,Complete_CyberAccessories,4,FALSE))*(IF(C25="",1,IF(ISERR(FIND("A",VLOOKUP(A25,Complete_CyberAccessories,5,FALSE))),C25,1))))</f>
      </c>
      <c r="E25" s="68">
        <f>IF(A25="","",(VLOOKUP(A25,Complete_CyberAccessories,2,FALSE))*(IF(C25="",1,IF(ISERR(FIND("C",VLOOKUP(A25,Complete_CyberAccessories,5,FALSE))),C25,1))))</f>
      </c>
      <c r="F25" s="97">
        <f>IF(A25="","",(VLOOKUP(A25,Complete_CyberAccessories,6,FALSE))*IF($F$4="Alpha",2,IF($F$4="Beta",4,IF($F$4="Delta",10,1)))*(IF(C25="",1,C25)))</f>
      </c>
      <c r="H25" s="95"/>
      <c r="I25" s="95"/>
      <c r="J25" s="95"/>
      <c r="K25" s="95"/>
      <c r="L25" s="95"/>
      <c r="M25" s="136"/>
      <c r="N25" s="57">
        <f aca="true" t="shared" si="10" ref="N25:N31">IF(H25="","",(VLOOKUP(H25,Complete_CyberAccessories,4,FALSE))*(IF(M25="",1,IF(ISERR(FIND("A",VLOOKUP(H25,Complete_CyberAccessories,5,FALSE))),M25,1))))</f>
      </c>
      <c r="O25" s="57">
        <f aca="true" t="shared" si="11" ref="O25:O31">IF(H25="","",(VLOOKUP(H25,Complete_CyberAccessories,2,FALSE))*(IF(M25="",1,IF(ISERR(FIND("C",VLOOKUP(H25,Complete_CyberAccessories,5,FALSE))),M25,1))))</f>
      </c>
      <c r="P25" s="97">
        <f aca="true" t="shared" si="12" ref="P25:P31">IF(H25="","",(VLOOKUP(H25,Complete_CyberAccessories,6,FALSE))*IF($F$5="Alpha",2,IF($F$5="Beta",4,IF($F$5="Delta",10,1)))*(IF(M25="",1,M25)))</f>
      </c>
      <c r="Q25" s="134">
        <f aca="true" t="shared" si="13" ref="Q25:Q31">IF(A25="","",IF(VLOOKUP(A25,Complete_Ware_Table,8,FALSE)="","",VLOOKUP(A25,Complete_Ware_Table,8,FALSE)*(IF(B25="",1,B25))))</f>
      </c>
      <c r="R25" s="135">
        <f aca="true" t="shared" si="14" ref="R25:R31">IF(A25="","",IF(VLOOKUP(A25,Complete_Ware_Table,11,FALSE)="","",VLOOKUP(A25,Complete_Ware_Table,11,FALSE)*(IF(B25="",1,B25))))</f>
      </c>
      <c r="S25" s="135">
        <f aca="true" t="shared" si="15" ref="S25:S31">IF(A25="","",IF(VLOOKUP(A25,Complete_Ware_Table,13,FALSE)="","",VLOOKUP(A25,Complete_Ware_Table,13,FALSE)*(IF(B25="",1,B25))))</f>
      </c>
      <c r="T25" s="135">
        <f aca="true" t="shared" si="16" ref="T25:T31">IF(A25="","",IF(VLOOKUP(A25,Complete_Ware_Table,19,FALSE)="","",VLOOKUP(A25,Complete_Ware_Table,19,FALSE)*(IF(B25="",1,B25))))</f>
      </c>
      <c r="U25" s="134">
        <f>IF(H25="","",IF(VLOOKUP(H25,Complete_Ware_Table,8,FALSE)="","",VLOOKUP(H25,Complete_Ware_Table,8,FALSE)*(IF(M25="",1,M25))))</f>
      </c>
      <c r="V25" s="135">
        <f>IF(H25="","",IF(VLOOKUP(H25,Complete_Ware_Table,11,FALSE)="","",VLOOKUP(H25,Complete_Ware_Table,11,FALSE)*(IF(M25="",1,M25))))</f>
      </c>
      <c r="W25" s="135">
        <f>IF(H25="","",IF(VLOOKUP(H25,Complete_Ware_Table,13,FALSE)="","",VLOOKUP(H25,Complete_Ware_Table,13,FALSE)*(IF(M25="",1,M25))))</f>
      </c>
      <c r="X25" s="135">
        <f>IF(H25="","",IF(VLOOKUP(H25,Complete_Ware_Table,19,FALSE)="","",VLOOKUP(H25,Complete_Ware_Table,19,FALSE)*(IF(M25="",1,M25))))</f>
      </c>
    </row>
    <row r="26" spans="1:24" ht="12.75">
      <c r="A26" s="95"/>
      <c r="B26" s="95"/>
      <c r="C26" s="53"/>
      <c r="D26" s="68">
        <f aca="true" t="shared" si="17" ref="D26:D31">IF(A26="","",(VLOOKUP(A26,Complete_CyberAccessories,4,FALSE))*(IF(C26="",1,IF(ISERR(FIND("A",VLOOKUP(A26,Complete_CyberAccessories,5,FALSE))),C26,1))))</f>
      </c>
      <c r="E26" s="68">
        <f aca="true" t="shared" si="18" ref="E26:E31">IF(A26="","",(VLOOKUP(A26,Complete_CyberAccessories,2,FALSE))*(IF(C26="",1,IF(ISERR(FIND("C",VLOOKUP(A26,Complete_CyberAccessories,5,FALSE))),C26,1))))</f>
      </c>
      <c r="F26" s="97">
        <f aca="true" t="shared" si="19" ref="F26:F31">IF(A26="","",(VLOOKUP(A26,Complete_CyberAccessories,6,FALSE))*IF($F$4="Alpha",2,IF($F$4="Beta",4,IF($F$4="Delta",10,1)))*(IF(C26="",1,C26)))</f>
      </c>
      <c r="H26" s="95"/>
      <c r="I26" s="95"/>
      <c r="J26" s="95"/>
      <c r="K26" s="95"/>
      <c r="L26" s="95"/>
      <c r="M26" s="136"/>
      <c r="N26" s="57">
        <f t="shared" si="10"/>
      </c>
      <c r="O26" s="57">
        <f t="shared" si="11"/>
      </c>
      <c r="P26" s="97">
        <f t="shared" si="12"/>
      </c>
      <c r="Q26" s="134">
        <f t="shared" si="13"/>
      </c>
      <c r="R26" s="135">
        <f t="shared" si="14"/>
      </c>
      <c r="S26" s="135">
        <f t="shared" si="15"/>
      </c>
      <c r="T26" s="135">
        <f t="shared" si="16"/>
      </c>
      <c r="U26" s="134">
        <f aca="true" t="shared" si="20" ref="U26:U31">IF(H26="","",IF(VLOOKUP(H26,Complete_Ware_Table,8,FALSE)="","",VLOOKUP(H26,Complete_Ware_Table,8,FALSE)*(IF(M26="",1,M26))))</f>
      </c>
      <c r="V26" s="135">
        <f aca="true" t="shared" si="21" ref="V26:V31">IF(H26="","",IF(VLOOKUP(H26,Complete_Ware_Table,11,FALSE)="","",VLOOKUP(H26,Complete_Ware_Table,11,FALSE)*(IF(M26="",1,M26))))</f>
      </c>
      <c r="W26" s="135">
        <f aca="true" t="shared" si="22" ref="W26:W31">IF(H26="","",IF(VLOOKUP(H26,Complete_Ware_Table,13,FALSE)="","",VLOOKUP(H26,Complete_Ware_Table,13,FALSE)*(IF(M26="",1,M26))))</f>
      </c>
      <c r="X26" s="135">
        <f aca="true" t="shared" si="23" ref="X26:X31">IF(H26="","",IF(VLOOKUP(H26,Complete_Ware_Table,19,FALSE)="","",VLOOKUP(H26,Complete_Ware_Table,19,FALSE)*(IF(M26="",1,M26))))</f>
      </c>
    </row>
    <row r="27" spans="1:24" ht="12.75">
      <c r="A27" s="95"/>
      <c r="B27" s="95"/>
      <c r="C27" s="53"/>
      <c r="D27" s="68">
        <f t="shared" si="17"/>
      </c>
      <c r="E27" s="68">
        <f t="shared" si="18"/>
      </c>
      <c r="F27" s="97">
        <f t="shared" si="19"/>
      </c>
      <c r="H27" s="95"/>
      <c r="I27" s="95"/>
      <c r="J27" s="95"/>
      <c r="K27" s="95"/>
      <c r="L27" s="95"/>
      <c r="M27" s="136"/>
      <c r="N27" s="57">
        <f t="shared" si="10"/>
      </c>
      <c r="O27" s="57">
        <f t="shared" si="11"/>
      </c>
      <c r="P27" s="97">
        <f t="shared" si="12"/>
      </c>
      <c r="Q27" s="134">
        <f t="shared" si="13"/>
      </c>
      <c r="R27" s="135">
        <f t="shared" si="14"/>
      </c>
      <c r="S27" s="135">
        <f t="shared" si="15"/>
      </c>
      <c r="T27" s="135">
        <f t="shared" si="16"/>
      </c>
      <c r="U27" s="134">
        <f t="shared" si="20"/>
      </c>
      <c r="V27" s="135">
        <f t="shared" si="21"/>
      </c>
      <c r="W27" s="135">
        <f t="shared" si="22"/>
      </c>
      <c r="X27" s="135">
        <f t="shared" si="23"/>
      </c>
    </row>
    <row r="28" spans="1:24" ht="12.75">
      <c r="A28" s="95"/>
      <c r="B28" s="95"/>
      <c r="C28" s="53"/>
      <c r="D28" s="68">
        <f t="shared" si="17"/>
      </c>
      <c r="E28" s="68">
        <f t="shared" si="18"/>
      </c>
      <c r="F28" s="97">
        <f t="shared" si="19"/>
      </c>
      <c r="H28" s="95"/>
      <c r="I28" s="95"/>
      <c r="J28" s="95"/>
      <c r="K28" s="95"/>
      <c r="L28" s="95"/>
      <c r="M28" s="136"/>
      <c r="N28" s="57">
        <f t="shared" si="10"/>
      </c>
      <c r="O28" s="57">
        <f t="shared" si="11"/>
      </c>
      <c r="P28" s="97">
        <f t="shared" si="12"/>
      </c>
      <c r="Q28" s="134">
        <f t="shared" si="13"/>
      </c>
      <c r="R28" s="135">
        <f t="shared" si="14"/>
      </c>
      <c r="S28" s="135">
        <f t="shared" si="15"/>
      </c>
      <c r="T28" s="135">
        <f t="shared" si="16"/>
      </c>
      <c r="U28" s="134">
        <f t="shared" si="20"/>
      </c>
      <c r="V28" s="135">
        <f t="shared" si="21"/>
      </c>
      <c r="W28" s="135">
        <f t="shared" si="22"/>
      </c>
      <c r="X28" s="135">
        <f t="shared" si="23"/>
      </c>
    </row>
    <row r="29" spans="1:24" ht="12.75">
      <c r="A29" s="95"/>
      <c r="B29" s="95"/>
      <c r="C29" s="53"/>
      <c r="D29" s="68">
        <f t="shared" si="17"/>
      </c>
      <c r="E29" s="68">
        <f t="shared" si="18"/>
      </c>
      <c r="F29" s="97">
        <f t="shared" si="19"/>
      </c>
      <c r="H29" s="95"/>
      <c r="I29" s="95"/>
      <c r="J29" s="95"/>
      <c r="K29" s="95"/>
      <c r="L29" s="95"/>
      <c r="M29" s="136"/>
      <c r="N29" s="57">
        <f t="shared" si="10"/>
      </c>
      <c r="O29" s="57">
        <f t="shared" si="11"/>
      </c>
      <c r="P29" s="97">
        <f t="shared" si="12"/>
      </c>
      <c r="Q29" s="134">
        <f t="shared" si="13"/>
      </c>
      <c r="R29" s="135">
        <f t="shared" si="14"/>
      </c>
      <c r="S29" s="135">
        <f t="shared" si="15"/>
      </c>
      <c r="T29" s="135">
        <f t="shared" si="16"/>
      </c>
      <c r="U29" s="134">
        <f t="shared" si="20"/>
      </c>
      <c r="V29" s="135">
        <f t="shared" si="21"/>
      </c>
      <c r="W29" s="135">
        <f t="shared" si="22"/>
      </c>
      <c r="X29" s="135">
        <f t="shared" si="23"/>
      </c>
    </row>
    <row r="30" spans="1:24" ht="12.75">
      <c r="A30" s="95"/>
      <c r="B30" s="95"/>
      <c r="C30" s="53"/>
      <c r="D30" s="68">
        <f t="shared" si="17"/>
      </c>
      <c r="E30" s="68">
        <f t="shared" si="18"/>
      </c>
      <c r="F30" s="97">
        <f t="shared" si="19"/>
      </c>
      <c r="H30" s="95"/>
      <c r="I30" s="95"/>
      <c r="J30" s="95"/>
      <c r="K30" s="95"/>
      <c r="L30" s="95"/>
      <c r="M30" s="136"/>
      <c r="N30" s="57">
        <f t="shared" si="10"/>
      </c>
      <c r="O30" s="57">
        <f t="shared" si="11"/>
      </c>
      <c r="P30" s="97">
        <f t="shared" si="12"/>
      </c>
      <c r="Q30" s="134">
        <f t="shared" si="13"/>
      </c>
      <c r="R30" s="135">
        <f t="shared" si="14"/>
      </c>
      <c r="S30" s="135">
        <f t="shared" si="15"/>
      </c>
      <c r="T30" s="135">
        <f t="shared" si="16"/>
      </c>
      <c r="U30" s="134">
        <f t="shared" si="20"/>
      </c>
      <c r="V30" s="135">
        <f t="shared" si="21"/>
      </c>
      <c r="W30" s="135">
        <f t="shared" si="22"/>
      </c>
      <c r="X30" s="135">
        <f t="shared" si="23"/>
      </c>
    </row>
    <row r="31" spans="1:24" ht="12.75">
      <c r="A31" s="95"/>
      <c r="B31" s="95"/>
      <c r="C31" s="53"/>
      <c r="D31" s="68">
        <f t="shared" si="17"/>
      </c>
      <c r="E31" s="68">
        <f t="shared" si="18"/>
      </c>
      <c r="F31" s="97">
        <f t="shared" si="19"/>
      </c>
      <c r="H31" s="95"/>
      <c r="I31" s="95"/>
      <c r="J31" s="95"/>
      <c r="K31" s="95"/>
      <c r="L31" s="95"/>
      <c r="M31" s="136"/>
      <c r="N31" s="57">
        <f t="shared" si="10"/>
      </c>
      <c r="O31" s="57">
        <f t="shared" si="11"/>
      </c>
      <c r="P31" s="97">
        <f t="shared" si="12"/>
      </c>
      <c r="Q31" s="134">
        <f t="shared" si="13"/>
      </c>
      <c r="R31" s="135">
        <f t="shared" si="14"/>
      </c>
      <c r="S31" s="135">
        <f t="shared" si="15"/>
      </c>
      <c r="T31" s="135">
        <f t="shared" si="16"/>
      </c>
      <c r="U31" s="134">
        <f t="shared" si="20"/>
      </c>
      <c r="V31" s="135">
        <f t="shared" si="21"/>
      </c>
      <c r="W31" s="135">
        <f t="shared" si="22"/>
      </c>
      <c r="X31" s="135">
        <f t="shared" si="23"/>
      </c>
    </row>
    <row r="32" spans="1:23" s="1" customFormat="1" ht="12.75">
      <c r="A32" s="9"/>
      <c r="C32" s="5"/>
      <c r="E32" s="131" t="s">
        <v>44</v>
      </c>
      <c r="F32" s="132">
        <f>SUM(F25:F31)</f>
        <v>0</v>
      </c>
      <c r="H32" s="55"/>
      <c r="L32" s="11"/>
      <c r="M32" s="5"/>
      <c r="O32" s="133" t="s">
        <v>44</v>
      </c>
      <c r="P32" s="132">
        <f>SUM(P25:P31)</f>
        <v>0</v>
      </c>
      <c r="Q32" s="1">
        <f>IF($A32="","",M32+A32)</f>
      </c>
      <c r="R32" s="1">
        <f>IF($A32="","",#REF!+F32)</f>
      </c>
      <c r="S32" s="1">
        <f>IF($A32="","",#REF!+#REF!)</f>
      </c>
      <c r="U32" s="1">
        <f>IF($A32="","",P32+H32)</f>
      </c>
      <c r="V32" s="1">
        <f>IF($A32="","",#REF!+M32)</f>
      </c>
      <c r="W32" s="1">
        <f>IF($A32="","",#REF!+#REF!)</f>
      </c>
    </row>
    <row r="33" spans="1:21" s="1" customFormat="1" ht="12.75">
      <c r="A33" s="137" t="str">
        <f>A6&amp;IF(F6="","",IF(F6="Std."," (Std. Grade)"," ("&amp;F6&amp;"ware)"))</f>
        <v>Left Leg</v>
      </c>
      <c r="D33" s="24">
        <f>IF(F33="","","Capacity Used:")</f>
      </c>
      <c r="E33" s="128">
        <f>IF(F33="","",SUM(E35:E41))</f>
      </c>
      <c r="F33" s="129">
        <f>D6</f>
      </c>
      <c r="H33" s="127" t="str">
        <f>A7&amp;IF(F7="","",IF(F7="Std."," (Std. Grade)"," ("&amp;F7&amp;"ware)"))</f>
        <v>Right Leg</v>
      </c>
      <c r="L33" s="11"/>
      <c r="N33" s="24">
        <f>IF(P33="","","Capacity Used:")</f>
      </c>
      <c r="O33" s="128">
        <f>IF(P33="","",SUM(O35:O41))</f>
      </c>
      <c r="P33" s="129">
        <f>D7</f>
      </c>
      <c r="Q33" s="1" t="s">
        <v>350</v>
      </c>
      <c r="U33" s="1" t="s">
        <v>351</v>
      </c>
    </row>
    <row r="34" spans="1:24" ht="12.75">
      <c r="A34" s="64" t="s">
        <v>346</v>
      </c>
      <c r="B34" s="64"/>
      <c r="C34" s="108" t="s">
        <v>299</v>
      </c>
      <c r="D34" s="108" t="s">
        <v>337</v>
      </c>
      <c r="E34" s="65" t="s">
        <v>336</v>
      </c>
      <c r="F34" s="93" t="s">
        <v>328</v>
      </c>
      <c r="H34" s="64" t="s">
        <v>346</v>
      </c>
      <c r="I34" s="64"/>
      <c r="J34" s="64"/>
      <c r="K34" s="64"/>
      <c r="L34" s="64"/>
      <c r="M34" s="108" t="s">
        <v>299</v>
      </c>
      <c r="N34" s="108" t="s">
        <v>337</v>
      </c>
      <c r="O34" s="65" t="s">
        <v>336</v>
      </c>
      <c r="P34" s="93" t="s">
        <v>328</v>
      </c>
      <c r="Q34" s="134" t="s">
        <v>13</v>
      </c>
      <c r="R34" s="135" t="s">
        <v>18</v>
      </c>
      <c r="S34" s="135" t="s">
        <v>23</v>
      </c>
      <c r="T34" s="135" t="s">
        <v>357</v>
      </c>
      <c r="U34" s="134" t="s">
        <v>13</v>
      </c>
      <c r="V34" s="135" t="s">
        <v>18</v>
      </c>
      <c r="W34" s="135" t="s">
        <v>23</v>
      </c>
      <c r="X34" s="135" t="s">
        <v>357</v>
      </c>
    </row>
    <row r="35" spans="1:24" ht="12.75">
      <c r="A35" s="95"/>
      <c r="B35" s="95"/>
      <c r="C35" s="53"/>
      <c r="D35" s="68">
        <f>IF(A35="","",(VLOOKUP(A35,Complete_CyberAccessories,4,FALSE))*(IF(C35="",1,IF(ISERR(FIND("A",VLOOKUP(A35,Complete_CyberAccessories,5,FALSE))),C35,1))))</f>
      </c>
      <c r="E35" s="68">
        <f aca="true" t="shared" si="24" ref="E35:E41">IF(A35="","",(VLOOKUP(A35,Complete_CyberAccessories,2,FALSE))*(IF(C35="",1,IF(ISERR(FIND("C",VLOOKUP(A35,Complete_CyberAccessories,5,FALSE))),C35,1))))</f>
      </c>
      <c r="F35" s="97">
        <f aca="true" t="shared" si="25" ref="F35:F41">IF(A35="","",(VLOOKUP(A35,Complete_CyberAccessories,6,FALSE))*IF($F$6="Alpha",2,IF($F$6="Beta",4,IF($F$6="Delta",10,1)))*(IF(C35="",1,C35)))</f>
      </c>
      <c r="H35" s="95"/>
      <c r="I35" s="95"/>
      <c r="J35" s="95"/>
      <c r="K35" s="95"/>
      <c r="L35" s="95"/>
      <c r="M35" s="136"/>
      <c r="N35" s="57">
        <f aca="true" t="shared" si="26" ref="N35:N41">IF(H35="","",(VLOOKUP(H35,Complete_CyberAccessories,4,FALSE))*(IF(M35="",1,IF(ISERR(FIND("A",VLOOKUP(H35,Complete_CyberAccessories,5,FALSE))),M35,1))))</f>
      </c>
      <c r="O35" s="57">
        <f aca="true" t="shared" si="27" ref="O35:O41">IF(H35="","",(VLOOKUP(H35,Complete_CyberAccessories,2,FALSE))*(IF(M35="",1,IF(ISERR(FIND("C",VLOOKUP(H35,Complete_CyberAccessories,5,FALSE))),M35,1))))</f>
      </c>
      <c r="P35" s="97">
        <f aca="true" t="shared" si="28" ref="P35:P41">IF(H35="","",(VLOOKUP(H35,Complete_CyberAccessories,6,FALSE))*IF($F$7="Alpha",2,IF($F$7="Beta",4,IF($F$7="Delta",10,1)))*(IF(M35="",1,M35)))</f>
      </c>
      <c r="Q35" s="134">
        <f aca="true" t="shared" si="29" ref="Q35:Q41">IF(A35="","",IF(VLOOKUP(A35,Complete_Ware_Table,8,FALSE)="","",VLOOKUP(A35,Complete_Ware_Table,8,FALSE)*(IF(B35="",1,B35))))</f>
      </c>
      <c r="R35" s="135">
        <f aca="true" t="shared" si="30" ref="R35:R41">IF(A35="","",IF(VLOOKUP(A35,Complete_Ware_Table,11,FALSE)="","",VLOOKUP(A35,Complete_Ware_Table,11,FALSE)*(IF(B35="",1,B35))))</f>
      </c>
      <c r="S35" s="135">
        <f aca="true" t="shared" si="31" ref="S35:S41">IF(A35="","",IF(VLOOKUP(A35,Complete_Ware_Table,13,FALSE)="","",VLOOKUP(A35,Complete_Ware_Table,13,FALSE)*(IF(B35="",1,B35))))</f>
      </c>
      <c r="T35" s="135">
        <f aca="true" t="shared" si="32" ref="T35:T41">IF(A35="","",IF(VLOOKUP(A35,Complete_Ware_Table,19,FALSE)="","",VLOOKUP(A35,Complete_Ware_Table,19,FALSE)*(IF(B35="",1,B35))))</f>
      </c>
      <c r="U35" s="134">
        <f>IF(H35="","",IF(VLOOKUP(H35,Complete_Ware_Table,8,FALSE)="","",VLOOKUP(H35,Complete_Ware_Table,8,FALSE)*(IF(M35="",1,M35))))</f>
      </c>
      <c r="V35" s="135">
        <f>IF(H35="","",IF(VLOOKUP(H35,Complete_Ware_Table,11,FALSE)="","",VLOOKUP(H35,Complete_Ware_Table,11,FALSE)*(IF(M35="",1,M35))))</f>
      </c>
      <c r="W35" s="135">
        <f>IF(H35="","",IF(VLOOKUP(H35,Complete_Ware_Table,13,FALSE)="","",VLOOKUP(H35,Complete_Ware_Table,13,FALSE)*(IF(M35="",1,M35))))</f>
      </c>
      <c r="X35" s="135">
        <f>IF(H35="","",IF(VLOOKUP(H35,Complete_Ware_Table,19,FALSE)="","",VLOOKUP(H35,Complete_Ware_Table,19,FALSE)*(IF(M35="",1,M35))))</f>
      </c>
    </row>
    <row r="36" spans="1:24" ht="12.75">
      <c r="A36" s="95"/>
      <c r="B36" s="95"/>
      <c r="C36" s="53"/>
      <c r="D36" s="68">
        <f aca="true" t="shared" si="33" ref="D36:D41">IF(A36="","",(VLOOKUP(A36,Complete_CyberAccessories,4,FALSE))*(IF(C36="",1,IF(ISERR(FIND("A",VLOOKUP(A36,Complete_CyberAccessories,5,FALSE))),C36,1))))</f>
      </c>
      <c r="E36" s="68">
        <f t="shared" si="24"/>
      </c>
      <c r="F36" s="97">
        <f t="shared" si="25"/>
      </c>
      <c r="H36" s="95"/>
      <c r="I36" s="95"/>
      <c r="J36" s="95"/>
      <c r="K36" s="95"/>
      <c r="L36" s="95"/>
      <c r="M36" s="136"/>
      <c r="N36" s="57">
        <f t="shared" si="26"/>
      </c>
      <c r="O36" s="57">
        <f t="shared" si="27"/>
      </c>
      <c r="P36" s="97">
        <f t="shared" si="28"/>
      </c>
      <c r="Q36" s="134">
        <f t="shared" si="29"/>
      </c>
      <c r="R36" s="135">
        <f t="shared" si="30"/>
      </c>
      <c r="S36" s="135">
        <f t="shared" si="31"/>
      </c>
      <c r="T36" s="135">
        <f t="shared" si="32"/>
      </c>
      <c r="U36" s="134">
        <f aca="true" t="shared" si="34" ref="U36:U41">IF(H36="","",IF(VLOOKUP(H36,Complete_Ware_Table,8,FALSE)="","",VLOOKUP(H36,Complete_Ware_Table,8,FALSE)*(IF(M36="",1,M36))))</f>
      </c>
      <c r="V36" s="135">
        <f aca="true" t="shared" si="35" ref="V36:V41">IF(H36="","",IF(VLOOKUP(H36,Complete_Ware_Table,11,FALSE)="","",VLOOKUP(H36,Complete_Ware_Table,11,FALSE)*(IF(M36="",1,M36))))</f>
      </c>
      <c r="W36" s="135">
        <f aca="true" t="shared" si="36" ref="W36:W41">IF(H36="","",IF(VLOOKUP(H36,Complete_Ware_Table,13,FALSE)="","",VLOOKUP(H36,Complete_Ware_Table,13,FALSE)*(IF(M36="",1,M36))))</f>
      </c>
      <c r="X36" s="135">
        <f aca="true" t="shared" si="37" ref="X36:X41">IF(H36="","",IF(VLOOKUP(H36,Complete_Ware_Table,19,FALSE)="","",VLOOKUP(H36,Complete_Ware_Table,19,FALSE)*(IF(M36="",1,M36))))</f>
      </c>
    </row>
    <row r="37" spans="1:24" ht="12.75">
      <c r="A37" s="95"/>
      <c r="B37" s="95"/>
      <c r="C37" s="53"/>
      <c r="D37" s="68">
        <f t="shared" si="33"/>
      </c>
      <c r="E37" s="68">
        <f t="shared" si="24"/>
      </c>
      <c r="F37" s="97">
        <f t="shared" si="25"/>
      </c>
      <c r="H37" s="95"/>
      <c r="I37" s="95"/>
      <c r="J37" s="95"/>
      <c r="K37" s="95"/>
      <c r="L37" s="95"/>
      <c r="M37" s="136"/>
      <c r="N37" s="57">
        <f t="shared" si="26"/>
      </c>
      <c r="O37" s="57">
        <f t="shared" si="27"/>
      </c>
      <c r="P37" s="97">
        <f t="shared" si="28"/>
      </c>
      <c r="Q37" s="134">
        <f t="shared" si="29"/>
      </c>
      <c r="R37" s="135">
        <f t="shared" si="30"/>
      </c>
      <c r="S37" s="135">
        <f t="shared" si="31"/>
      </c>
      <c r="T37" s="135">
        <f t="shared" si="32"/>
      </c>
      <c r="U37" s="134">
        <f t="shared" si="34"/>
      </c>
      <c r="V37" s="135">
        <f t="shared" si="35"/>
      </c>
      <c r="W37" s="135">
        <f t="shared" si="36"/>
      </c>
      <c r="X37" s="135">
        <f t="shared" si="37"/>
      </c>
    </row>
    <row r="38" spans="1:24" ht="12.75">
      <c r="A38" s="95"/>
      <c r="B38" s="95"/>
      <c r="C38" s="53"/>
      <c r="D38" s="68">
        <f t="shared" si="33"/>
      </c>
      <c r="E38" s="68">
        <f t="shared" si="24"/>
      </c>
      <c r="F38" s="97">
        <f t="shared" si="25"/>
      </c>
      <c r="H38" s="95"/>
      <c r="I38" s="95"/>
      <c r="J38" s="95"/>
      <c r="K38" s="95"/>
      <c r="L38" s="95"/>
      <c r="M38" s="136"/>
      <c r="N38" s="57">
        <f t="shared" si="26"/>
      </c>
      <c r="O38" s="57">
        <f t="shared" si="27"/>
      </c>
      <c r="P38" s="97">
        <f t="shared" si="28"/>
      </c>
      <c r="Q38" s="134">
        <f t="shared" si="29"/>
      </c>
      <c r="R38" s="135">
        <f t="shared" si="30"/>
      </c>
      <c r="S38" s="135">
        <f t="shared" si="31"/>
      </c>
      <c r="T38" s="135">
        <f t="shared" si="32"/>
      </c>
      <c r="U38" s="134">
        <f t="shared" si="34"/>
      </c>
      <c r="V38" s="135">
        <f t="shared" si="35"/>
      </c>
      <c r="W38" s="135">
        <f t="shared" si="36"/>
      </c>
      <c r="X38" s="135">
        <f t="shared" si="37"/>
      </c>
    </row>
    <row r="39" spans="1:24" ht="12.75">
      <c r="A39" s="95"/>
      <c r="B39" s="95"/>
      <c r="C39" s="53"/>
      <c r="D39" s="68">
        <f t="shared" si="33"/>
      </c>
      <c r="E39" s="68">
        <f t="shared" si="24"/>
      </c>
      <c r="F39" s="97">
        <f t="shared" si="25"/>
      </c>
      <c r="H39" s="95"/>
      <c r="I39" s="95"/>
      <c r="J39" s="95"/>
      <c r="K39" s="95"/>
      <c r="L39" s="95"/>
      <c r="M39" s="136"/>
      <c r="N39" s="57">
        <f t="shared" si="26"/>
      </c>
      <c r="O39" s="57">
        <f t="shared" si="27"/>
      </c>
      <c r="P39" s="97">
        <f t="shared" si="28"/>
      </c>
      <c r="Q39" s="134">
        <f t="shared" si="29"/>
      </c>
      <c r="R39" s="135">
        <f t="shared" si="30"/>
      </c>
      <c r="S39" s="135">
        <f t="shared" si="31"/>
      </c>
      <c r="T39" s="135">
        <f t="shared" si="32"/>
      </c>
      <c r="U39" s="134">
        <f t="shared" si="34"/>
      </c>
      <c r="V39" s="135">
        <f t="shared" si="35"/>
      </c>
      <c r="W39" s="135">
        <f t="shared" si="36"/>
      </c>
      <c r="X39" s="135">
        <f t="shared" si="37"/>
      </c>
    </row>
    <row r="40" spans="1:24" ht="12.75">
      <c r="A40" s="95"/>
      <c r="B40" s="95"/>
      <c r="C40" s="53"/>
      <c r="D40" s="68">
        <f t="shared" si="33"/>
      </c>
      <c r="E40" s="68">
        <f t="shared" si="24"/>
      </c>
      <c r="F40" s="97">
        <f t="shared" si="25"/>
      </c>
      <c r="H40" s="95"/>
      <c r="I40" s="95"/>
      <c r="J40" s="95"/>
      <c r="K40" s="95"/>
      <c r="L40" s="95"/>
      <c r="M40" s="136"/>
      <c r="N40" s="57">
        <f t="shared" si="26"/>
      </c>
      <c r="O40" s="57">
        <f t="shared" si="27"/>
      </c>
      <c r="P40" s="97">
        <f t="shared" si="28"/>
      </c>
      <c r="Q40" s="134">
        <f t="shared" si="29"/>
      </c>
      <c r="R40" s="135">
        <f t="shared" si="30"/>
      </c>
      <c r="S40" s="135">
        <f t="shared" si="31"/>
      </c>
      <c r="T40" s="135">
        <f t="shared" si="32"/>
      </c>
      <c r="U40" s="134">
        <f t="shared" si="34"/>
      </c>
      <c r="V40" s="135">
        <f t="shared" si="35"/>
      </c>
      <c r="W40" s="135">
        <f t="shared" si="36"/>
      </c>
      <c r="X40" s="135">
        <f t="shared" si="37"/>
      </c>
    </row>
    <row r="41" spans="1:24" ht="12.75">
      <c r="A41" s="95"/>
      <c r="B41" s="95"/>
      <c r="C41" s="53"/>
      <c r="D41" s="68">
        <f t="shared" si="33"/>
      </c>
      <c r="E41" s="68">
        <f t="shared" si="24"/>
      </c>
      <c r="F41" s="97">
        <f t="shared" si="25"/>
      </c>
      <c r="H41" s="95"/>
      <c r="I41" s="95"/>
      <c r="J41" s="95"/>
      <c r="K41" s="95"/>
      <c r="L41" s="95"/>
      <c r="M41" s="136"/>
      <c r="N41" s="57">
        <f t="shared" si="26"/>
      </c>
      <c r="O41" s="57">
        <f t="shared" si="27"/>
      </c>
      <c r="P41" s="97">
        <f t="shared" si="28"/>
      </c>
      <c r="Q41" s="134">
        <f t="shared" si="29"/>
      </c>
      <c r="R41" s="135">
        <f t="shared" si="30"/>
      </c>
      <c r="S41" s="135">
        <f t="shared" si="31"/>
      </c>
      <c r="T41" s="135">
        <f t="shared" si="32"/>
      </c>
      <c r="U41" s="134">
        <f t="shared" si="34"/>
      </c>
      <c r="V41" s="135">
        <f t="shared" si="35"/>
      </c>
      <c r="W41" s="135">
        <f t="shared" si="36"/>
      </c>
      <c r="X41" s="135">
        <f t="shared" si="37"/>
      </c>
    </row>
    <row r="42" spans="1:16" s="1" customFormat="1" ht="12.75">
      <c r="A42" s="124"/>
      <c r="C42" s="5"/>
      <c r="E42" s="131" t="s">
        <v>44</v>
      </c>
      <c r="F42" s="132">
        <f>SUM(F35:F41)</f>
        <v>0</v>
      </c>
      <c r="H42" s="124"/>
      <c r="L42" s="11"/>
      <c r="M42" s="5"/>
      <c r="O42" s="133" t="s">
        <v>44</v>
      </c>
      <c r="P42" s="132">
        <f>SUM(P35:P41)</f>
        <v>0</v>
      </c>
    </row>
    <row r="43" spans="1:21" s="1" customFormat="1" ht="12.75">
      <c r="A43" s="127" t="str">
        <f>A8&amp;IF(F8="","",IF(F8="Std."," (Std. Grade)"," ("&amp;F8&amp;"ware)"))</f>
        <v>Skull</v>
      </c>
      <c r="D43" s="24">
        <f>IF(F43="","","Capacity Used:")</f>
      </c>
      <c r="E43" s="128">
        <f>IF(F43="","",SUM(E45:E51))</f>
      </c>
      <c r="F43" s="129">
        <f>D8</f>
      </c>
      <c r="H43" s="127" t="str">
        <f>A9&amp;IF(F9="","",IF(F9="Std."," (Std. Grade)"," ("&amp;F9&amp;"ware)"))</f>
        <v>Torso</v>
      </c>
      <c r="L43" s="11"/>
      <c r="N43" s="24">
        <f>IF(P43="","","Capacity Used:")</f>
      </c>
      <c r="O43" s="128">
        <f>IF(P43="","",SUM(O45:O51))</f>
      </c>
      <c r="P43" s="129">
        <f>D9</f>
      </c>
      <c r="Q43" s="1" t="s">
        <v>353</v>
      </c>
      <c r="U43" s="1" t="s">
        <v>355</v>
      </c>
    </row>
    <row r="44" spans="1:24" ht="12.75">
      <c r="A44" s="64" t="s">
        <v>346</v>
      </c>
      <c r="B44" s="64"/>
      <c r="C44" s="108" t="s">
        <v>299</v>
      </c>
      <c r="D44" s="108" t="s">
        <v>337</v>
      </c>
      <c r="E44" s="65" t="s">
        <v>336</v>
      </c>
      <c r="F44" s="93" t="s">
        <v>328</v>
      </c>
      <c r="H44" s="64" t="s">
        <v>346</v>
      </c>
      <c r="I44" s="64"/>
      <c r="J44" s="64"/>
      <c r="K44" s="64"/>
      <c r="L44" s="64"/>
      <c r="M44" s="108" t="s">
        <v>299</v>
      </c>
      <c r="N44" s="108" t="s">
        <v>337</v>
      </c>
      <c r="O44" s="65" t="s">
        <v>336</v>
      </c>
      <c r="P44" s="93" t="s">
        <v>328</v>
      </c>
      <c r="Q44" s="134" t="s">
        <v>13</v>
      </c>
      <c r="R44" s="135" t="s">
        <v>18</v>
      </c>
      <c r="S44" s="135" t="s">
        <v>23</v>
      </c>
      <c r="T44" s="135" t="s">
        <v>310</v>
      </c>
      <c r="U44" s="134" t="s">
        <v>13</v>
      </c>
      <c r="V44" s="135" t="s">
        <v>18</v>
      </c>
      <c r="W44" s="135" t="s">
        <v>23</v>
      </c>
      <c r="X44" s="135" t="s">
        <v>310</v>
      </c>
    </row>
    <row r="45" spans="1:24" ht="12.75">
      <c r="A45" s="130"/>
      <c r="B45" s="130"/>
      <c r="C45" s="53"/>
      <c r="D45" s="68">
        <f>IF(A45="","",(VLOOKUP(A45,Complete_CyberAccessories,4,FALSE))*(IF(C45="",1,IF(ISERR(FIND("A",VLOOKUP(A45,Complete_CyberAccessories,5,FALSE))),C45,1))))</f>
      </c>
      <c r="E45" s="68">
        <f aca="true" t="shared" si="38" ref="E45:E51">IF(A45="","",(VLOOKUP(A45,Complete_CyberAccessories,2,FALSE))*(IF(C45="",1,IF(ISERR(FIND("C",VLOOKUP(A45,Complete_CyberAccessories,5,FALSE))),C45,1))))</f>
      </c>
      <c r="F45" s="97">
        <f aca="true" t="shared" si="39" ref="F45:F51">IF(A45="","",(VLOOKUP(A45,Complete_CyberAccessories,6,FALSE))*IF($F$8="Alpha",2,IF($F$8="Beta",4,IF($F$8="Delta",10,1)))*(IF(C45="",1,C45)))</f>
      </c>
      <c r="H45" s="95"/>
      <c r="I45" s="95"/>
      <c r="J45" s="95"/>
      <c r="K45" s="95"/>
      <c r="L45" s="95"/>
      <c r="M45" s="136"/>
      <c r="N45" s="57">
        <f aca="true" t="shared" si="40" ref="N45:N51">IF(H45="","",(VLOOKUP(H45,Complete_CyberAccessories,4,FALSE))*(IF(M45="",1,IF(ISERR(FIND("A",VLOOKUP(H45,Complete_CyberAccessories,5,FALSE))),M45,1))))</f>
      </c>
      <c r="O45" s="57">
        <f aca="true" t="shared" si="41" ref="O45:O51">IF(H45="","",(VLOOKUP(H45,Complete_CyberAccessories,2,FALSE))*(IF(M45="",1,IF(ISERR(FIND("C",VLOOKUP(H45,Complete_CyberAccessories,5,FALSE))),M45,1))))</f>
      </c>
      <c r="P45" s="97">
        <f aca="true" t="shared" si="42" ref="P45:P51">IF(H45="","",(VLOOKUP(H45,Complete_CyberAccessories,6,FALSE))*IF($F$9="Alpha",2,IF($F$9="Beta",4,IF($F$9="Delta",10,1)))*(IF(M45="",1,M45)))</f>
      </c>
      <c r="Q45" s="134">
        <f aca="true" t="shared" si="43" ref="Q45:Q51">IF(A45="","",IF(VLOOKUP(A45,Complete_Ware_Table,8,FALSE)="","",VLOOKUP(A45,Complete_Ware_Table,8,FALSE)*(IF(B45="",1,B45))))</f>
      </c>
      <c r="R45" s="135">
        <f aca="true" t="shared" si="44" ref="R45:R51">IF(A45="","",IF(VLOOKUP(A45,Complete_Ware_Table,11,FALSE)="","",VLOOKUP(A45,Complete_Ware_Table,11,FALSE)*(IF(B45="",1,B45))))</f>
      </c>
      <c r="S45" s="135">
        <f aca="true" t="shared" si="45" ref="S45:S51">IF(A45="","",IF(VLOOKUP(A45,Complete_Ware_Table,13,FALSE)="","",VLOOKUP(A45,Complete_Ware_Table,13,FALSE)*(IF(B45="",1,B45))))</f>
      </c>
      <c r="T45" s="135">
        <f aca="true" t="shared" si="46" ref="T45:T51">IF(A45="","",IF(VLOOKUP(A45,Complete_Ware_Table,19,FALSE)="","",VLOOKUP(A45,Complete_Ware_Table,19,FALSE)*(IF(B45="",1,B45))))</f>
      </c>
      <c r="U45" s="134">
        <f>IF(H45="","",IF(VLOOKUP(H45,Complete_Ware_Table,8,FALSE)="","",VLOOKUP(H45,Complete_Ware_Table,8,FALSE)*(IF(M45="",1,M45))))</f>
      </c>
      <c r="V45" s="135">
        <f>IF(H45="","",IF(VLOOKUP(H45,Complete_Ware_Table,11,FALSE)="","",VLOOKUP(H45,Complete_Ware_Table,11,FALSE)*(IF(M45="",1,M45))))</f>
      </c>
      <c r="W45" s="135">
        <f>IF(H45="","",IF(VLOOKUP(H45,Complete_Ware_Table,13,FALSE)="","",VLOOKUP(H45,Complete_Ware_Table,13,FALSE)*(IF(M45="",1,M45))))</f>
      </c>
      <c r="X45" s="135">
        <f>IF(H45="","",IF(VLOOKUP(H45,Complete_Ware_Table,19,FALSE)="","",VLOOKUP(H45,Complete_Ware_Table,19,FALSE)*(IF(M45="",1,M45))))</f>
      </c>
    </row>
    <row r="46" spans="1:24" ht="12.75">
      <c r="A46" s="130"/>
      <c r="B46" s="130"/>
      <c r="C46" s="53"/>
      <c r="D46" s="68">
        <f aca="true" t="shared" si="47" ref="D46:D51">IF(A46="","",(VLOOKUP(A46,Complete_CyberAccessories,4,FALSE))*(IF(C46="",1,IF(ISERR(FIND("A",VLOOKUP(A46,Complete_CyberAccessories,5,FALSE))),C46,1))))</f>
      </c>
      <c r="E46" s="68">
        <f t="shared" si="38"/>
      </c>
      <c r="F46" s="97">
        <f t="shared" si="39"/>
      </c>
      <c r="H46" s="95"/>
      <c r="I46" s="95"/>
      <c r="J46" s="95"/>
      <c r="K46" s="95"/>
      <c r="L46" s="95"/>
      <c r="M46" s="136"/>
      <c r="N46" s="57">
        <f t="shared" si="40"/>
      </c>
      <c r="O46" s="57">
        <f t="shared" si="41"/>
      </c>
      <c r="P46" s="97">
        <f t="shared" si="42"/>
      </c>
      <c r="Q46" s="134">
        <f t="shared" si="43"/>
      </c>
      <c r="R46" s="135">
        <f t="shared" si="44"/>
      </c>
      <c r="S46" s="135">
        <f t="shared" si="45"/>
      </c>
      <c r="T46" s="135">
        <f t="shared" si="46"/>
      </c>
      <c r="U46" s="134">
        <f aca="true" t="shared" si="48" ref="U46:U51">IF(H46="","",IF(VLOOKUP(H46,Complete_Ware_Table,8,FALSE)="","",VLOOKUP(H46,Complete_Ware_Table,8,FALSE)*(IF(M46="",1,M46))))</f>
      </c>
      <c r="V46" s="135">
        <f aca="true" t="shared" si="49" ref="V46:V51">IF(H46="","",IF(VLOOKUP(H46,Complete_Ware_Table,11,FALSE)="","",VLOOKUP(H46,Complete_Ware_Table,11,FALSE)*(IF(M46="",1,M46))))</f>
      </c>
      <c r="W46" s="135">
        <f aca="true" t="shared" si="50" ref="W46:W51">IF(H46="","",IF(VLOOKUP(H46,Complete_Ware_Table,13,FALSE)="","",VLOOKUP(H46,Complete_Ware_Table,13,FALSE)*(IF(M46="",1,M46))))</f>
      </c>
      <c r="X46" s="135">
        <f aca="true" t="shared" si="51" ref="X46:X51">IF(H46="","",IF(VLOOKUP(H46,Complete_Ware_Table,19,FALSE)="","",VLOOKUP(H46,Complete_Ware_Table,19,FALSE)*(IF(M46="",1,M46))))</f>
      </c>
    </row>
    <row r="47" spans="1:24" ht="12.75">
      <c r="A47" s="130"/>
      <c r="B47" s="130"/>
      <c r="C47" s="53"/>
      <c r="D47" s="68">
        <f t="shared" si="47"/>
      </c>
      <c r="E47" s="68">
        <f t="shared" si="38"/>
      </c>
      <c r="F47" s="97">
        <f t="shared" si="39"/>
      </c>
      <c r="H47" s="95"/>
      <c r="I47" s="95"/>
      <c r="J47" s="95"/>
      <c r="K47" s="95"/>
      <c r="L47" s="95"/>
      <c r="M47" s="136"/>
      <c r="N47" s="57">
        <f t="shared" si="40"/>
      </c>
      <c r="O47" s="57">
        <f t="shared" si="41"/>
      </c>
      <c r="P47" s="97">
        <f t="shared" si="42"/>
      </c>
      <c r="Q47" s="134">
        <f t="shared" si="43"/>
      </c>
      <c r="R47" s="135">
        <f t="shared" si="44"/>
      </c>
      <c r="S47" s="135">
        <f t="shared" si="45"/>
      </c>
      <c r="T47" s="135">
        <f t="shared" si="46"/>
      </c>
      <c r="U47" s="134">
        <f t="shared" si="48"/>
      </c>
      <c r="V47" s="135">
        <f t="shared" si="49"/>
      </c>
      <c r="W47" s="135">
        <f t="shared" si="50"/>
      </c>
      <c r="X47" s="135">
        <f t="shared" si="51"/>
      </c>
    </row>
    <row r="48" spans="1:24" ht="12.75">
      <c r="A48" s="130"/>
      <c r="B48" s="130"/>
      <c r="C48" s="53"/>
      <c r="D48" s="68">
        <f t="shared" si="47"/>
      </c>
      <c r="E48" s="68">
        <f t="shared" si="38"/>
      </c>
      <c r="F48" s="97">
        <f t="shared" si="39"/>
      </c>
      <c r="H48" s="95"/>
      <c r="I48" s="95"/>
      <c r="J48" s="95"/>
      <c r="K48" s="95"/>
      <c r="L48" s="95"/>
      <c r="M48" s="136"/>
      <c r="N48" s="57">
        <f t="shared" si="40"/>
      </c>
      <c r="O48" s="57">
        <f t="shared" si="41"/>
      </c>
      <c r="P48" s="97">
        <f t="shared" si="42"/>
      </c>
      <c r="Q48" s="134">
        <f t="shared" si="43"/>
      </c>
      <c r="R48" s="135">
        <f t="shared" si="44"/>
      </c>
      <c r="S48" s="135">
        <f t="shared" si="45"/>
      </c>
      <c r="T48" s="135">
        <f t="shared" si="46"/>
      </c>
      <c r="U48" s="134">
        <f t="shared" si="48"/>
      </c>
      <c r="V48" s="135">
        <f t="shared" si="49"/>
      </c>
      <c r="W48" s="135">
        <f t="shared" si="50"/>
      </c>
      <c r="X48" s="135">
        <f t="shared" si="51"/>
      </c>
    </row>
    <row r="49" spans="1:24" ht="12.75">
      <c r="A49" s="130"/>
      <c r="B49" s="130"/>
      <c r="C49" s="53"/>
      <c r="D49" s="68">
        <f t="shared" si="47"/>
      </c>
      <c r="E49" s="68">
        <f t="shared" si="38"/>
      </c>
      <c r="F49" s="97">
        <f t="shared" si="39"/>
      </c>
      <c r="H49" s="95"/>
      <c r="I49" s="95"/>
      <c r="J49" s="95"/>
      <c r="K49" s="95"/>
      <c r="L49" s="95"/>
      <c r="M49" s="136"/>
      <c r="N49" s="57">
        <f t="shared" si="40"/>
      </c>
      <c r="O49" s="57">
        <f t="shared" si="41"/>
      </c>
      <c r="P49" s="97">
        <f t="shared" si="42"/>
      </c>
      <c r="Q49" s="134">
        <f t="shared" si="43"/>
      </c>
      <c r="R49" s="135">
        <f t="shared" si="44"/>
      </c>
      <c r="S49" s="135">
        <f t="shared" si="45"/>
      </c>
      <c r="T49" s="135">
        <f t="shared" si="46"/>
      </c>
      <c r="U49" s="134">
        <f t="shared" si="48"/>
      </c>
      <c r="V49" s="135">
        <f t="shared" si="49"/>
      </c>
      <c r="W49" s="135">
        <f t="shared" si="50"/>
      </c>
      <c r="X49" s="135">
        <f t="shared" si="51"/>
      </c>
    </row>
    <row r="50" spans="1:24" ht="12.75">
      <c r="A50" s="130"/>
      <c r="B50" s="130"/>
      <c r="C50" s="53"/>
      <c r="D50" s="68">
        <f t="shared" si="47"/>
      </c>
      <c r="E50" s="68">
        <f t="shared" si="38"/>
      </c>
      <c r="F50" s="97">
        <f t="shared" si="39"/>
      </c>
      <c r="H50" s="95"/>
      <c r="I50" s="95"/>
      <c r="J50" s="95"/>
      <c r="K50" s="95"/>
      <c r="L50" s="95"/>
      <c r="M50" s="136"/>
      <c r="N50" s="57">
        <f t="shared" si="40"/>
      </c>
      <c r="O50" s="57">
        <f t="shared" si="41"/>
      </c>
      <c r="P50" s="97">
        <f t="shared" si="42"/>
      </c>
      <c r="Q50" s="134">
        <f t="shared" si="43"/>
      </c>
      <c r="R50" s="135">
        <f t="shared" si="44"/>
      </c>
      <c r="S50" s="135">
        <f t="shared" si="45"/>
      </c>
      <c r="T50" s="135">
        <f t="shared" si="46"/>
      </c>
      <c r="U50" s="134">
        <f t="shared" si="48"/>
      </c>
      <c r="V50" s="135">
        <f t="shared" si="49"/>
      </c>
      <c r="W50" s="135">
        <f t="shared" si="50"/>
      </c>
      <c r="X50" s="135">
        <f t="shared" si="51"/>
      </c>
    </row>
    <row r="51" spans="1:24" ht="12.75">
      <c r="A51" s="95"/>
      <c r="B51" s="95"/>
      <c r="C51" s="53"/>
      <c r="D51" s="68">
        <f t="shared" si="47"/>
      </c>
      <c r="E51" s="68">
        <f t="shared" si="38"/>
      </c>
      <c r="F51" s="97">
        <f t="shared" si="39"/>
      </c>
      <c r="H51" s="95"/>
      <c r="I51" s="95"/>
      <c r="J51" s="95"/>
      <c r="K51" s="95"/>
      <c r="L51" s="95"/>
      <c r="M51" s="136"/>
      <c r="N51" s="57">
        <f t="shared" si="40"/>
      </c>
      <c r="O51" s="57">
        <f t="shared" si="41"/>
      </c>
      <c r="P51" s="97">
        <f t="shared" si="42"/>
      </c>
      <c r="Q51" s="134">
        <f t="shared" si="43"/>
      </c>
      <c r="R51" s="135">
        <f t="shared" si="44"/>
      </c>
      <c r="S51" s="135">
        <f t="shared" si="45"/>
      </c>
      <c r="T51" s="135">
        <f t="shared" si="46"/>
      </c>
      <c r="U51" s="134">
        <f t="shared" si="48"/>
      </c>
      <c r="V51" s="135">
        <f t="shared" si="49"/>
      </c>
      <c r="W51" s="135">
        <f t="shared" si="50"/>
      </c>
      <c r="X51" s="135">
        <f t="shared" si="51"/>
      </c>
    </row>
    <row r="52" spans="1:16" s="1" customFormat="1" ht="12.75">
      <c r="A52" s="55"/>
      <c r="C52" s="5"/>
      <c r="E52" s="131" t="s">
        <v>44</v>
      </c>
      <c r="F52" s="132">
        <f>SUM(F45:F51)</f>
        <v>0</v>
      </c>
      <c r="H52" s="124"/>
      <c r="L52" s="11"/>
      <c r="M52" s="5"/>
      <c r="O52" s="133" t="s">
        <v>44</v>
      </c>
      <c r="P52" s="132">
        <f>SUM(P45:P51)</f>
        <v>0</v>
      </c>
    </row>
  </sheetData>
  <sheetProtection sheet="1" objects="1" scenarios="1"/>
  <mergeCells count="75">
    <mergeCell ref="B1:C1"/>
    <mergeCell ref="B2:C2"/>
    <mergeCell ref="B3:C3"/>
    <mergeCell ref="B4:C4"/>
    <mergeCell ref="B5:C5"/>
    <mergeCell ref="B6:C6"/>
    <mergeCell ref="B7:C7"/>
    <mergeCell ref="B8:C8"/>
    <mergeCell ref="B9:C9"/>
    <mergeCell ref="A13:B13"/>
    <mergeCell ref="H13:L13"/>
    <mergeCell ref="A14:B14"/>
    <mergeCell ref="H14:L14"/>
    <mergeCell ref="A15:B15"/>
    <mergeCell ref="H15:L15"/>
    <mergeCell ref="A16:B16"/>
    <mergeCell ref="H16:L16"/>
    <mergeCell ref="A17:B17"/>
    <mergeCell ref="H17:L17"/>
    <mergeCell ref="A18:B18"/>
    <mergeCell ref="H18:L18"/>
    <mergeCell ref="A19:B19"/>
    <mergeCell ref="H19:L19"/>
    <mergeCell ref="A20:B20"/>
    <mergeCell ref="H20:L20"/>
    <mergeCell ref="A21:B21"/>
    <mergeCell ref="H21:L21"/>
    <mergeCell ref="A24:B24"/>
    <mergeCell ref="H24:L24"/>
    <mergeCell ref="A25:B25"/>
    <mergeCell ref="H25:L25"/>
    <mergeCell ref="A26:B26"/>
    <mergeCell ref="H26:L26"/>
    <mergeCell ref="A27:B27"/>
    <mergeCell ref="H27:L27"/>
    <mergeCell ref="A28:B28"/>
    <mergeCell ref="H28:L28"/>
    <mergeCell ref="A29:B29"/>
    <mergeCell ref="H29:L29"/>
    <mergeCell ref="A30:B30"/>
    <mergeCell ref="H30:L30"/>
    <mergeCell ref="A31:B31"/>
    <mergeCell ref="H31:L31"/>
    <mergeCell ref="A34:B34"/>
    <mergeCell ref="H34:L34"/>
    <mergeCell ref="A35:B35"/>
    <mergeCell ref="H35:L35"/>
    <mergeCell ref="A36:B36"/>
    <mergeCell ref="H36:L36"/>
    <mergeCell ref="A37:B37"/>
    <mergeCell ref="H37:L37"/>
    <mergeCell ref="A38:B38"/>
    <mergeCell ref="H38:L38"/>
    <mergeCell ref="A39:B39"/>
    <mergeCell ref="H39:L39"/>
    <mergeCell ref="A40:B40"/>
    <mergeCell ref="H40:L40"/>
    <mergeCell ref="A41:B41"/>
    <mergeCell ref="H41:L41"/>
    <mergeCell ref="A44:B44"/>
    <mergeCell ref="H44:L44"/>
    <mergeCell ref="A45:B45"/>
    <mergeCell ref="H45:L45"/>
    <mergeCell ref="A46:B46"/>
    <mergeCell ref="H46:L46"/>
    <mergeCell ref="A47:B47"/>
    <mergeCell ref="H47:L47"/>
    <mergeCell ref="A48:B48"/>
    <mergeCell ref="H48:L48"/>
    <mergeCell ref="A49:B49"/>
    <mergeCell ref="H49:L49"/>
    <mergeCell ref="A50:B50"/>
    <mergeCell ref="H50:L50"/>
    <mergeCell ref="A51:B51"/>
    <mergeCell ref="H51:L51"/>
  </mergeCells>
  <conditionalFormatting sqref="E2:E9">
    <cfRule type="expression" priority="1" dxfId="3" stopIfTrue="1">
      <formula>AND(E2&lt;&gt;"",E2&gt;12)</formula>
    </cfRule>
  </conditionalFormatting>
  <conditionalFormatting sqref="E12:F12">
    <cfRule type="expression" priority="2" dxfId="3" stopIfTrue="1">
      <formula>$F$12&lt;$E$12</formula>
    </cfRule>
  </conditionalFormatting>
  <conditionalFormatting sqref="E23:F23">
    <cfRule type="expression" priority="3" dxfId="3" stopIfTrue="1">
      <formula>$F$23&lt;$E$23</formula>
    </cfRule>
  </conditionalFormatting>
  <conditionalFormatting sqref="E33:F33">
    <cfRule type="expression" priority="4" dxfId="3" stopIfTrue="1">
      <formula>$F$33&lt;$E$33</formula>
    </cfRule>
  </conditionalFormatting>
  <conditionalFormatting sqref="E43:F43">
    <cfRule type="expression" priority="5" dxfId="3" stopIfTrue="1">
      <formula>$F$43&lt;$E$43</formula>
    </cfRule>
  </conditionalFormatting>
  <conditionalFormatting sqref="O12:P12">
    <cfRule type="expression" priority="6" dxfId="3" stopIfTrue="1">
      <formula>$P$12&lt;$O$12</formula>
    </cfRule>
  </conditionalFormatting>
  <conditionalFormatting sqref="O43:P43">
    <cfRule type="expression" priority="7" dxfId="3" stopIfTrue="1">
      <formula>$P$43&lt;$O$43</formula>
    </cfRule>
  </conditionalFormatting>
  <conditionalFormatting sqref="O33:P33">
    <cfRule type="expression" priority="8" dxfId="3" stopIfTrue="1">
      <formula>$P$33&lt;$O$33</formula>
    </cfRule>
  </conditionalFormatting>
  <conditionalFormatting sqref="O23:P23">
    <cfRule type="expression" priority="9" dxfId="3" stopIfTrue="1">
      <formula>$P$23&lt;$O$23</formula>
    </cfRule>
  </conditionalFormatting>
  <conditionalFormatting sqref="P10">
    <cfRule type="cellIs" priority="10" dxfId="3" operator="greaterThanOrEqual" stopIfTrue="1">
      <formula>6</formula>
    </cfRule>
  </conditionalFormatting>
  <conditionalFormatting sqref="P4">
    <cfRule type="cellIs" priority="11" dxfId="3" operator="lessThan" stopIfTrue="1">
      <formula>0</formula>
    </cfRule>
  </conditionalFormatting>
  <conditionalFormatting sqref="H45:L51 O45:P51 P52">
    <cfRule type="expression" priority="12" dxfId="13" stopIfTrue="1">
      <formula>$B$9=""</formula>
    </cfRule>
  </conditionalFormatting>
  <conditionalFormatting sqref="A25:B31 E25:F31 F32">
    <cfRule type="expression" priority="13" dxfId="13" stopIfTrue="1">
      <formula>$B$4=""</formula>
    </cfRule>
  </conditionalFormatting>
  <conditionalFormatting sqref="A14:B21 E14:F21 F22">
    <cfRule type="expression" priority="14" dxfId="13" stopIfTrue="1">
      <formula>$B$2=""</formula>
    </cfRule>
  </conditionalFormatting>
  <conditionalFormatting sqref="H14:L21 O14:P21 P22">
    <cfRule type="expression" priority="15" dxfId="13" stopIfTrue="1">
      <formula>$B$3=""</formula>
    </cfRule>
  </conditionalFormatting>
  <conditionalFormatting sqref="H25:L31 O25:P31 P32">
    <cfRule type="expression" priority="16" dxfId="13" stopIfTrue="1">
      <formula>$B$5=""</formula>
    </cfRule>
  </conditionalFormatting>
  <conditionalFormatting sqref="A35:B41 E35:F41 F42">
    <cfRule type="expression" priority="17" dxfId="13" stopIfTrue="1">
      <formula>$B$6=""</formula>
    </cfRule>
  </conditionalFormatting>
  <conditionalFormatting sqref="H35:L41 O35:O41 P42">
    <cfRule type="expression" priority="18" dxfId="13" stopIfTrue="1">
      <formula>$B$7=""</formula>
    </cfRule>
  </conditionalFormatting>
  <conditionalFormatting sqref="A45:B51 E45:F51 F52">
    <cfRule type="expression" priority="19" dxfId="13" stopIfTrue="1">
      <formula>$B$8=""</formula>
    </cfRule>
  </conditionalFormatting>
  <conditionalFormatting sqref="D25:D31">
    <cfRule type="expression" priority="20" dxfId="13" stopIfTrue="1">
      <formula>$B$4=""</formula>
    </cfRule>
    <cfRule type="expression" priority="21" dxfId="3" stopIfTrue="1">
      <formula>N(D25)&gt;12</formula>
    </cfRule>
  </conditionalFormatting>
  <conditionalFormatting sqref="D14:D21">
    <cfRule type="expression" priority="22" dxfId="13" stopIfTrue="1">
      <formula>$B$2=""</formula>
    </cfRule>
    <cfRule type="expression" priority="23" dxfId="3" stopIfTrue="1">
      <formula>N(D14)&gt;12</formula>
    </cfRule>
  </conditionalFormatting>
  <conditionalFormatting sqref="N14:N21">
    <cfRule type="expression" priority="24" dxfId="13" stopIfTrue="1">
      <formula>$B$3=""</formula>
    </cfRule>
    <cfRule type="expression" priority="25" dxfId="3" stopIfTrue="1">
      <formula>N(N14)&gt;12</formula>
    </cfRule>
  </conditionalFormatting>
  <conditionalFormatting sqref="N25:N31">
    <cfRule type="expression" priority="26" dxfId="13" stopIfTrue="1">
      <formula>$B$5=""</formula>
    </cfRule>
    <cfRule type="expression" priority="27" dxfId="3" stopIfTrue="1">
      <formula>N(N25)&gt;12</formula>
    </cfRule>
  </conditionalFormatting>
  <conditionalFormatting sqref="D35:D41">
    <cfRule type="expression" priority="28" dxfId="13" stopIfTrue="1">
      <formula>$B$6=""</formula>
    </cfRule>
    <cfRule type="expression" priority="29" dxfId="3" stopIfTrue="1">
      <formula>N(D35)&gt;12</formula>
    </cfRule>
  </conditionalFormatting>
  <conditionalFormatting sqref="D45:D51">
    <cfRule type="expression" priority="30" dxfId="13" stopIfTrue="1">
      <formula>$B$8=""</formula>
    </cfRule>
    <cfRule type="expression" priority="31" dxfId="3" stopIfTrue="1">
      <formula>N(D45)&gt;12</formula>
    </cfRule>
  </conditionalFormatting>
  <conditionalFormatting sqref="N35:N41">
    <cfRule type="expression" priority="32" dxfId="13" stopIfTrue="1">
      <formula>$B$7=""</formula>
    </cfRule>
    <cfRule type="expression" priority="33" dxfId="3" stopIfTrue="1">
      <formula>N(N35)&gt;12</formula>
    </cfRule>
  </conditionalFormatting>
  <conditionalFormatting sqref="N45:N51">
    <cfRule type="expression" priority="34" dxfId="13" stopIfTrue="1">
      <formula>$B$9=""</formula>
    </cfRule>
    <cfRule type="expression" priority="35" dxfId="3" stopIfTrue="1">
      <formula>N(N45)&gt;12</formula>
    </cfRule>
  </conditionalFormatting>
  <conditionalFormatting sqref="C14:C21">
    <cfRule type="expression" priority="36" dxfId="13" stopIfTrue="1">
      <formula>IF($B$2="",TRUE,AND(A14&lt;&gt;"",VLOOKUP(A14,Complete_Ware_Table,5,FALSE)=""))</formula>
    </cfRule>
  </conditionalFormatting>
  <conditionalFormatting sqref="C25:C31">
    <cfRule type="expression" priority="37" dxfId="13" stopIfTrue="1">
      <formula>IF($B$4="",TRUE,AND(A25&lt;&gt;"",VLOOKUP(A25,Complete_Ware_Table,5,FALSE)=""))</formula>
    </cfRule>
  </conditionalFormatting>
  <conditionalFormatting sqref="C35:C41">
    <cfRule type="expression" priority="38" dxfId="13" stopIfTrue="1">
      <formula>IF($B$6="",TRUE,AND(A35&lt;&gt;"",VLOOKUP(A35,Complete_Ware_Table,5,FALSE)=""))</formula>
    </cfRule>
  </conditionalFormatting>
  <conditionalFormatting sqref="C45:C51">
    <cfRule type="expression" priority="39" dxfId="13" stopIfTrue="1">
      <formula>IF($B$8="",TRUE,AND(A45&lt;&gt;"",VLOOKUP(A45,Complete_Ware_Table,5,FALSE)=""))</formula>
    </cfRule>
  </conditionalFormatting>
  <conditionalFormatting sqref="M14:M21">
    <cfRule type="expression" priority="40" dxfId="13" stopIfTrue="1">
      <formula>IF($B$3="",TRUE,AND(H14&lt;&gt;"",VLOOKUP(H14,Complete_Ware_Table,5,FALSE)=""))</formula>
    </cfRule>
  </conditionalFormatting>
  <conditionalFormatting sqref="M25:M31">
    <cfRule type="expression" priority="41" dxfId="13" stopIfTrue="1">
      <formula>IF($B$5="",TRUE,AND(H25&lt;&gt;"",VLOOKUP(H25,Complete_Ware_Table,5,FALSE)=""))</formula>
    </cfRule>
  </conditionalFormatting>
  <conditionalFormatting sqref="M35:M41">
    <cfRule type="expression" priority="42" dxfId="13" stopIfTrue="1">
      <formula>IF($B$7="",TRUE,AND(H35&lt;&gt;"",VLOOKUP(H35,Complete_Ware_Table,5,FALSE)=""))</formula>
    </cfRule>
  </conditionalFormatting>
  <conditionalFormatting sqref="M45:M51">
    <cfRule type="expression" priority="43" dxfId="13" stopIfTrue="1">
      <formula>IF($B$9="",TRUE,AND(H45&lt;&gt;"",VLOOKUP(H45,Complete_Ware_Table,5,FALSE)=""))</formula>
    </cfRule>
  </conditionalFormatting>
  <conditionalFormatting sqref="P35:P41">
    <cfRule type="expression" priority="44" dxfId="13" stopIfTrue="1">
      <formula>$B$7=""</formula>
    </cfRule>
  </conditionalFormatting>
  <dataValidations count="11">
    <dataValidation type="list" allowBlank="1" showErrorMessage="1" sqref="F2:F9">
      <formula1>Grade</formula1>
      <formula2>0</formula2>
    </dataValidation>
    <dataValidation type="list" allowBlank="1" showErrorMessage="1" sqref="A25:A31 H25:H31 A35:A41 H35:H41 A45:A51 H45:H51">
      <formula1>Cyberlimb_Accessories</formula1>
      <formula2>0</formula2>
    </dataValidation>
    <dataValidation type="list" allowBlank="1" showErrorMessage="1" sqref="B2">
      <formula1>Cybereyes</formula1>
      <formula2>0</formula2>
    </dataValidation>
    <dataValidation type="list" allowBlank="1" showErrorMessage="1" sqref="B3">
      <formula1>Cyberears</formula1>
      <formula2>0</formula2>
    </dataValidation>
    <dataValidation type="list" allowBlank="1" showErrorMessage="1" sqref="B4:B5">
      <formula1>CyberArms</formula1>
      <formula2>0</formula2>
    </dataValidation>
    <dataValidation type="list" allowBlank="1" showErrorMessage="1" sqref="B6:B7">
      <formula1>CyberLegs</formula1>
      <formula2>0</formula2>
    </dataValidation>
    <dataValidation type="list" allowBlank="1" showErrorMessage="1" sqref="B9">
      <formula1>CyberTorsos</formula1>
      <formula2>0</formula2>
    </dataValidation>
    <dataValidation type="list" allowBlank="1" showErrorMessage="1" sqref="B8">
      <formula1>CyberSkulls</formula1>
      <formula2>0</formula2>
    </dataValidation>
    <dataValidation type="list" allowBlank="1" showErrorMessage="1" sqref="A14:B21">
      <formula1>Cybereye_Accessories</formula1>
      <formula2>0</formula2>
    </dataValidation>
    <dataValidation type="list" allowBlank="1" showErrorMessage="1" sqref="H14:L21">
      <formula1>Cyberear_Accessories</formula1>
      <formula2>0</formula2>
    </dataValidation>
    <dataValidation type="list" allowBlank="1" showErrorMessage="1" sqref="C14:C21 M14:M21 C25:C31 M25:M31 C35:C41 M35:M41 C45:C51 M45:M51">
      <formula1>Rating</formula1>
      <formula2>0</formula2>
    </dataValidation>
  </dataValidations>
  <printOptions/>
  <pageMargins left="0.19652777777777777" right="0.19652777777777777" top="0.19652777777777777" bottom="0.19652777777777777" header="0.5118055555555556" footer="0.5118055555555556"/>
  <pageSetup fitToHeight="1" fitToWidth="1" horizontalDpi="300" verticalDpi="300" orientation="portrait"/>
  <legacyDrawing r:id="rId2"/>
</worksheet>
</file>

<file path=xl/worksheets/sheet7.xml><?xml version="1.0" encoding="utf-8"?>
<worksheet xmlns="http://schemas.openxmlformats.org/spreadsheetml/2006/main" xmlns:r="http://schemas.openxmlformats.org/officeDocument/2006/relationships">
  <sheetPr codeName="Sheet7"/>
  <dimension ref="A1:T197"/>
  <sheetViews>
    <sheetView showGridLines="0" workbookViewId="0" topLeftCell="A1">
      <pane xSplit="6" ySplit="1" topLeftCell="G2" activePane="bottomRight" state="frozen"/>
      <selection pane="topLeft" activeCell="A1" sqref="A1"/>
      <selection pane="topRight" activeCell="G1" sqref="G1"/>
      <selection pane="bottomLeft" activeCell="A2" sqref="A2"/>
      <selection pane="bottomRight" activeCell="G2" sqref="G2"/>
    </sheetView>
  </sheetViews>
  <sheetFormatPr defaultColWidth="9.140625" defaultRowHeight="12.75"/>
  <cols>
    <col min="1" max="1" width="29.00390625" style="0" customWidth="1"/>
    <col min="2" max="3" width="9.140625" style="138" customWidth="1"/>
    <col min="4" max="4" width="5.57421875" style="138" customWidth="1"/>
    <col min="5" max="5" width="7.140625" style="138" customWidth="1"/>
    <col min="6" max="6" width="8.7109375" style="139" customWidth="1"/>
    <col min="7" max="7" width="46.8515625" style="0" customWidth="1"/>
    <col min="8" max="10" width="4.57421875" style="138" customWidth="1"/>
    <col min="11" max="11" width="4.00390625" style="138" customWidth="1"/>
    <col min="12" max="12" width="4.57421875" style="138" customWidth="1"/>
    <col min="13" max="13" width="3.57421875" style="138" customWidth="1"/>
    <col min="14" max="14" width="4.57421875" style="138" customWidth="1"/>
    <col min="15" max="15" width="3.28125" style="138" customWidth="1"/>
    <col min="16" max="16" width="4.421875" style="138" customWidth="1"/>
    <col min="17" max="17" width="4.57421875" style="138" customWidth="1"/>
    <col min="18" max="18" width="4.00390625" style="138" customWidth="1"/>
    <col min="19" max="19" width="4.421875" style="0" customWidth="1"/>
    <col min="20" max="20" width="4.00390625" style="0" customWidth="1"/>
  </cols>
  <sheetData>
    <row r="1" spans="1:20" ht="12.75">
      <c r="A1" s="82" t="s">
        <v>358</v>
      </c>
      <c r="B1" s="140" t="s">
        <v>359</v>
      </c>
      <c r="C1" s="140" t="s">
        <v>49</v>
      </c>
      <c r="D1" s="140" t="s">
        <v>133</v>
      </c>
      <c r="E1" s="141" t="s">
        <v>360</v>
      </c>
      <c r="F1" s="142" t="s">
        <v>328</v>
      </c>
      <c r="G1" s="82" t="s">
        <v>107</v>
      </c>
      <c r="H1" s="80" t="s">
        <v>108</v>
      </c>
      <c r="I1" s="80" t="s">
        <v>329</v>
      </c>
      <c r="J1" s="80" t="s">
        <v>330</v>
      </c>
      <c r="K1" s="81" t="s">
        <v>109</v>
      </c>
      <c r="L1" s="81" t="s">
        <v>110</v>
      </c>
      <c r="M1" s="81" t="s">
        <v>111</v>
      </c>
      <c r="N1" s="81" t="s">
        <v>142</v>
      </c>
      <c r="O1" s="81" t="s">
        <v>143</v>
      </c>
      <c r="P1" s="81" t="s">
        <v>144</v>
      </c>
      <c r="Q1" s="81" t="s">
        <v>145</v>
      </c>
      <c r="R1" s="82" t="s">
        <v>112</v>
      </c>
      <c r="S1" s="81" t="s">
        <v>113</v>
      </c>
      <c r="T1" s="81" t="s">
        <v>114</v>
      </c>
    </row>
    <row r="2" spans="1:8" ht="12.75">
      <c r="A2" s="67" t="s">
        <v>361</v>
      </c>
      <c r="H2" s="143"/>
    </row>
    <row r="3" spans="1:8" ht="12.75">
      <c r="A3" t="s">
        <v>362</v>
      </c>
      <c r="B3" s="138" t="s">
        <v>363</v>
      </c>
      <c r="C3" s="138">
        <v>0.2</v>
      </c>
      <c r="D3" s="138">
        <v>0</v>
      </c>
      <c r="F3" s="139">
        <v>2000</v>
      </c>
      <c r="G3" t="s">
        <v>364</v>
      </c>
      <c r="H3" s="143"/>
    </row>
    <row r="4" spans="1:8" ht="12.75">
      <c r="A4" t="s">
        <v>365</v>
      </c>
      <c r="B4" s="138" t="s">
        <v>363</v>
      </c>
      <c r="C4" s="138">
        <v>0.5</v>
      </c>
      <c r="D4" s="138">
        <v>8</v>
      </c>
      <c r="F4" s="139">
        <v>10000</v>
      </c>
      <c r="G4" s="79" t="s">
        <v>366</v>
      </c>
      <c r="H4" s="143"/>
    </row>
    <row r="5" spans="1:8" ht="12.75">
      <c r="A5" t="s">
        <v>367</v>
      </c>
      <c r="B5" s="138" t="s">
        <v>363</v>
      </c>
      <c r="C5" s="138">
        <v>0.1</v>
      </c>
      <c r="D5" s="138">
        <v>0</v>
      </c>
      <c r="F5" s="139">
        <v>500</v>
      </c>
      <c r="H5" s="143"/>
    </row>
    <row r="6" spans="1:8" ht="12.75">
      <c r="A6" t="s">
        <v>368</v>
      </c>
      <c r="B6" s="138" t="s">
        <v>363</v>
      </c>
      <c r="C6" s="138">
        <v>0.1</v>
      </c>
      <c r="D6" s="138">
        <v>0</v>
      </c>
      <c r="F6" s="139">
        <v>1000</v>
      </c>
      <c r="G6" t="s">
        <v>369</v>
      </c>
      <c r="H6" s="143"/>
    </row>
    <row r="7" spans="1:8" ht="12.75">
      <c r="A7" t="s">
        <v>370</v>
      </c>
      <c r="B7" s="138" t="s">
        <v>363</v>
      </c>
      <c r="C7" s="138">
        <v>0.2</v>
      </c>
      <c r="D7" s="138">
        <v>4</v>
      </c>
      <c r="E7" s="144" t="s">
        <v>371</v>
      </c>
      <c r="F7" s="139">
        <v>1000</v>
      </c>
      <c r="G7" s="79" t="s">
        <v>372</v>
      </c>
      <c r="H7" s="143"/>
    </row>
    <row r="8" spans="1:8" ht="12.75">
      <c r="A8" t="s">
        <v>373</v>
      </c>
      <c r="B8" s="138" t="s">
        <v>363</v>
      </c>
      <c r="C8" s="138">
        <v>0.2</v>
      </c>
      <c r="D8" s="138">
        <v>0</v>
      </c>
      <c r="F8" s="139">
        <v>2000</v>
      </c>
      <c r="G8" t="s">
        <v>374</v>
      </c>
      <c r="H8" s="143"/>
    </row>
    <row r="9" spans="1:8" ht="12.75">
      <c r="A9" t="s">
        <v>375</v>
      </c>
      <c r="B9" s="138" t="s">
        <v>363</v>
      </c>
      <c r="C9" s="138">
        <v>0.2</v>
      </c>
      <c r="D9" s="138">
        <v>12</v>
      </c>
      <c r="F9" s="139">
        <v>5000</v>
      </c>
      <c r="H9" s="143"/>
    </row>
    <row r="10" spans="1:8" ht="12.75">
      <c r="A10" t="s">
        <v>376</v>
      </c>
      <c r="B10" s="138" t="s">
        <v>363</v>
      </c>
      <c r="C10" s="138">
        <v>0.2</v>
      </c>
      <c r="D10" s="138">
        <v>4</v>
      </c>
      <c r="E10" s="144" t="s">
        <v>371</v>
      </c>
      <c r="F10" s="139">
        <v>1500</v>
      </c>
      <c r="G10" s="79" t="s">
        <v>377</v>
      </c>
      <c r="H10" s="143"/>
    </row>
    <row r="11" spans="1:8" ht="12.75">
      <c r="A11" t="s">
        <v>378</v>
      </c>
      <c r="B11" s="138" t="s">
        <v>363</v>
      </c>
      <c r="C11" s="138">
        <v>0</v>
      </c>
      <c r="D11" s="138">
        <v>8</v>
      </c>
      <c r="F11" s="139">
        <v>200</v>
      </c>
      <c r="H11" s="143"/>
    </row>
    <row r="12" spans="1:8" ht="12.75">
      <c r="A12" t="s">
        <v>379</v>
      </c>
      <c r="B12" s="138" t="s">
        <v>363</v>
      </c>
      <c r="C12" s="138">
        <v>0.3</v>
      </c>
      <c r="D12" s="138">
        <v>10</v>
      </c>
      <c r="F12" s="139">
        <v>6000</v>
      </c>
      <c r="H12" s="143"/>
    </row>
    <row r="13" spans="1:8" ht="12.75">
      <c r="A13" t="s">
        <v>380</v>
      </c>
      <c r="B13" s="138" t="s">
        <v>363</v>
      </c>
      <c r="C13" s="138">
        <v>0.2</v>
      </c>
      <c r="D13" s="138">
        <v>4</v>
      </c>
      <c r="F13" s="139">
        <v>7500</v>
      </c>
      <c r="H13" s="143"/>
    </row>
    <row r="14" spans="1:8" ht="12.75">
      <c r="A14" s="79" t="s">
        <v>381</v>
      </c>
      <c r="B14" s="138" t="s">
        <v>363</v>
      </c>
      <c r="C14" s="138">
        <v>0</v>
      </c>
      <c r="D14" s="138">
        <v>3</v>
      </c>
      <c r="E14" s="144" t="s">
        <v>371</v>
      </c>
      <c r="F14" s="139">
        <v>5000</v>
      </c>
      <c r="H14" s="143"/>
    </row>
    <row r="15" spans="1:8" ht="12.75">
      <c r="A15" s="79"/>
      <c r="H15" s="143"/>
    </row>
    <row r="16" spans="1:8" ht="12.75">
      <c r="A16" s="67" t="s">
        <v>382</v>
      </c>
      <c r="H16" s="143"/>
    </row>
    <row r="17" spans="1:20" ht="12.75">
      <c r="A17" t="s">
        <v>383</v>
      </c>
      <c r="B17" s="138" t="s">
        <v>363</v>
      </c>
      <c r="C17" s="138">
        <v>0.1</v>
      </c>
      <c r="D17" s="138">
        <v>4</v>
      </c>
      <c r="F17" s="139">
        <v>2000</v>
      </c>
      <c r="G17" t="s">
        <v>384</v>
      </c>
      <c r="H17" s="145"/>
      <c r="I17" s="145"/>
      <c r="J17" s="145"/>
      <c r="K17" s="145"/>
      <c r="L17" s="145"/>
      <c r="M17" s="145"/>
      <c r="N17" s="145"/>
      <c r="O17" s="145"/>
      <c r="P17" s="145"/>
      <c r="Q17" s="145"/>
      <c r="R17" s="145"/>
      <c r="S17" s="146"/>
      <c r="T17" s="146"/>
    </row>
    <row r="18" spans="1:20" ht="12.75">
      <c r="A18" t="s">
        <v>385</v>
      </c>
      <c r="B18" s="138" t="s">
        <v>363</v>
      </c>
      <c r="C18" s="138">
        <v>0.1</v>
      </c>
      <c r="D18" s="138">
        <v>4</v>
      </c>
      <c r="F18" s="139">
        <v>750</v>
      </c>
      <c r="G18" t="s">
        <v>384</v>
      </c>
      <c r="H18" s="145"/>
      <c r="I18" s="145"/>
      <c r="J18" s="145"/>
      <c r="K18" s="145"/>
      <c r="L18" s="145"/>
      <c r="M18" s="145"/>
      <c r="N18" s="145"/>
      <c r="O18" s="145"/>
      <c r="P18" s="145"/>
      <c r="Q18" s="145"/>
      <c r="R18" s="145"/>
      <c r="S18" s="146"/>
      <c r="T18" s="146"/>
    </row>
    <row r="19" spans="1:20" ht="12.75">
      <c r="A19" t="s">
        <v>386</v>
      </c>
      <c r="B19" s="138" t="s">
        <v>363</v>
      </c>
      <c r="C19" s="138">
        <v>0.1</v>
      </c>
      <c r="D19" s="138">
        <v>4</v>
      </c>
      <c r="F19" s="139">
        <v>500</v>
      </c>
      <c r="G19" t="s">
        <v>384</v>
      </c>
      <c r="H19" s="145"/>
      <c r="I19" s="145"/>
      <c r="J19" s="145"/>
      <c r="K19" s="145"/>
      <c r="L19" s="145"/>
      <c r="M19" s="145"/>
      <c r="N19" s="145"/>
      <c r="O19" s="145"/>
      <c r="P19" s="145"/>
      <c r="Q19" s="145"/>
      <c r="R19" s="145"/>
      <c r="S19" s="146"/>
      <c r="T19" s="146"/>
    </row>
    <row r="20" spans="1:20" ht="12.75">
      <c r="A20" t="s">
        <v>387</v>
      </c>
      <c r="B20" s="138" t="s">
        <v>363</v>
      </c>
      <c r="C20" s="138">
        <v>0.1</v>
      </c>
      <c r="D20" s="138">
        <v>4</v>
      </c>
      <c r="F20" s="139">
        <v>1000</v>
      </c>
      <c r="G20" t="s">
        <v>384</v>
      </c>
      <c r="H20" s="145"/>
      <c r="I20" s="145"/>
      <c r="J20" s="145"/>
      <c r="K20" s="145"/>
      <c r="L20" s="145"/>
      <c r="M20" s="145"/>
      <c r="N20" s="145"/>
      <c r="O20" s="145"/>
      <c r="P20" s="145"/>
      <c r="Q20" s="145"/>
      <c r="R20" s="145"/>
      <c r="S20" s="146"/>
      <c r="T20" s="146"/>
    </row>
    <row r="21" spans="1:20" ht="12.75">
      <c r="A21" t="s">
        <v>388</v>
      </c>
      <c r="B21" s="138" t="s">
        <v>363</v>
      </c>
      <c r="C21" s="138">
        <v>0.1</v>
      </c>
      <c r="D21" s="138">
        <v>4</v>
      </c>
      <c r="F21" s="139">
        <v>100</v>
      </c>
      <c r="G21" t="s">
        <v>384</v>
      </c>
      <c r="H21" s="145"/>
      <c r="I21" s="145"/>
      <c r="J21" s="145"/>
      <c r="K21" s="145"/>
      <c r="L21" s="145"/>
      <c r="M21" s="145"/>
      <c r="N21" s="145"/>
      <c r="O21" s="145"/>
      <c r="P21" s="145"/>
      <c r="Q21" s="145"/>
      <c r="R21" s="145"/>
      <c r="S21" s="146"/>
      <c r="T21" s="146"/>
    </row>
    <row r="22" spans="1:20" ht="12.75">
      <c r="A22" t="s">
        <v>389</v>
      </c>
      <c r="B22" s="138" t="s">
        <v>363</v>
      </c>
      <c r="C22" s="138">
        <v>0.1</v>
      </c>
      <c r="D22" s="138">
        <v>16</v>
      </c>
      <c r="E22" s="144" t="s">
        <v>390</v>
      </c>
      <c r="F22" s="139">
        <v>15000</v>
      </c>
      <c r="G22" t="s">
        <v>384</v>
      </c>
      <c r="H22" s="145"/>
      <c r="I22" s="145"/>
      <c r="J22" s="145"/>
      <c r="K22" s="145"/>
      <c r="L22" s="145"/>
      <c r="M22" s="145"/>
      <c r="N22" s="145"/>
      <c r="O22" s="145"/>
      <c r="P22" s="145"/>
      <c r="Q22" s="145"/>
      <c r="R22" s="145"/>
      <c r="S22" s="146"/>
      <c r="T22" s="146"/>
    </row>
    <row r="23" spans="1:20" ht="12.75">
      <c r="A23" t="s">
        <v>391</v>
      </c>
      <c r="B23" s="138" t="s">
        <v>363</v>
      </c>
      <c r="C23" s="138">
        <v>0.1</v>
      </c>
      <c r="D23" s="138">
        <v>8</v>
      </c>
      <c r="F23" s="139">
        <v>1000</v>
      </c>
      <c r="G23" t="s">
        <v>384</v>
      </c>
      <c r="H23" s="145"/>
      <c r="I23" s="145"/>
      <c r="J23" s="145"/>
      <c r="K23" s="145"/>
      <c r="L23" s="145"/>
      <c r="M23" s="145"/>
      <c r="N23" s="145"/>
      <c r="O23" s="145"/>
      <c r="P23" s="145"/>
      <c r="Q23" s="145"/>
      <c r="R23" s="145"/>
      <c r="S23" s="146"/>
      <c r="T23" s="146"/>
    </row>
    <row r="24" spans="1:20" ht="12.75">
      <c r="A24" t="s">
        <v>392</v>
      </c>
      <c r="B24" s="138" t="s">
        <v>363</v>
      </c>
      <c r="C24" s="138">
        <v>0.1</v>
      </c>
      <c r="D24" s="138">
        <v>4</v>
      </c>
      <c r="F24" s="139">
        <v>1000</v>
      </c>
      <c r="G24" t="s">
        <v>384</v>
      </c>
      <c r="H24" s="145"/>
      <c r="I24" s="145"/>
      <c r="J24" s="145"/>
      <c r="K24" s="145"/>
      <c r="L24" s="145"/>
      <c r="M24" s="145"/>
      <c r="N24" s="145"/>
      <c r="O24" s="145"/>
      <c r="P24" s="145"/>
      <c r="Q24" s="145"/>
      <c r="R24" s="145"/>
      <c r="S24" s="146"/>
      <c r="T24" s="146"/>
    </row>
    <row r="25" spans="1:20" ht="12.75">
      <c r="A25" t="s">
        <v>393</v>
      </c>
      <c r="B25" s="138" t="s">
        <v>363</v>
      </c>
      <c r="C25" s="138">
        <v>0.1</v>
      </c>
      <c r="D25" s="138">
        <v>3</v>
      </c>
      <c r="E25" s="144" t="s">
        <v>371</v>
      </c>
      <c r="F25" s="139">
        <v>1500</v>
      </c>
      <c r="G25" t="s">
        <v>384</v>
      </c>
      <c r="H25" s="145"/>
      <c r="I25" s="145"/>
      <c r="J25" s="145"/>
      <c r="K25" s="145"/>
      <c r="L25" s="145"/>
      <c r="M25" s="145"/>
      <c r="N25" s="145"/>
      <c r="O25" s="145"/>
      <c r="P25" s="145"/>
      <c r="Q25" s="145"/>
      <c r="R25" s="145"/>
      <c r="S25" s="146"/>
      <c r="T25" s="146"/>
    </row>
    <row r="26" spans="1:20" ht="12.75">
      <c r="A26" t="s">
        <v>394</v>
      </c>
      <c r="B26" s="138" t="s">
        <v>363</v>
      </c>
      <c r="C26" s="138">
        <v>0.1</v>
      </c>
      <c r="D26" s="138">
        <v>4</v>
      </c>
      <c r="F26" s="139">
        <v>1000</v>
      </c>
      <c r="G26" t="s">
        <v>384</v>
      </c>
      <c r="H26" s="145"/>
      <c r="I26" s="145"/>
      <c r="J26" s="145"/>
      <c r="K26" s="145"/>
      <c r="L26" s="145"/>
      <c r="M26" s="145"/>
      <c r="N26" s="145"/>
      <c r="O26" s="145"/>
      <c r="P26" s="145"/>
      <c r="Q26" s="145"/>
      <c r="R26" s="145"/>
      <c r="S26" s="146"/>
      <c r="T26" s="146"/>
    </row>
    <row r="27" spans="8:20" ht="12.75">
      <c r="H27" s="145"/>
      <c r="I27" s="145"/>
      <c r="J27" s="145"/>
      <c r="K27" s="145"/>
      <c r="L27" s="145"/>
      <c r="M27" s="145"/>
      <c r="N27" s="145"/>
      <c r="O27" s="145"/>
      <c r="P27" s="145"/>
      <c r="Q27" s="145"/>
      <c r="R27" s="145"/>
      <c r="S27" s="146"/>
      <c r="T27" s="146"/>
    </row>
    <row r="28" spans="1:20" ht="12.75">
      <c r="A28" s="67" t="s">
        <v>395</v>
      </c>
      <c r="H28" s="145"/>
      <c r="I28" s="145"/>
      <c r="J28" s="145"/>
      <c r="K28" s="145"/>
      <c r="L28" s="145"/>
      <c r="M28" s="145"/>
      <c r="N28" s="145"/>
      <c r="O28" s="145"/>
      <c r="P28" s="145"/>
      <c r="Q28" s="145"/>
      <c r="R28" s="145"/>
      <c r="S28" s="146"/>
      <c r="T28" s="146"/>
    </row>
    <row r="29" spans="1:20" ht="12.75">
      <c r="A29" t="s">
        <v>396</v>
      </c>
      <c r="B29" s="138" t="s">
        <v>363</v>
      </c>
      <c r="C29" s="138">
        <v>0.1</v>
      </c>
      <c r="D29" s="138">
        <v>3</v>
      </c>
      <c r="E29" s="144" t="s">
        <v>371</v>
      </c>
      <c r="F29" s="139">
        <v>1500</v>
      </c>
      <c r="G29" t="s">
        <v>384</v>
      </c>
      <c r="H29" s="145"/>
      <c r="I29" s="145"/>
      <c r="J29" s="145"/>
      <c r="K29" s="145"/>
      <c r="L29" s="145"/>
      <c r="M29" s="145"/>
      <c r="N29" s="145"/>
      <c r="O29" s="145"/>
      <c r="P29" s="145"/>
      <c r="Q29" s="145"/>
      <c r="R29" s="145"/>
      <c r="S29" s="146"/>
      <c r="T29" s="146"/>
    </row>
    <row r="30" spans="1:20" ht="12.75">
      <c r="A30" t="s">
        <v>397</v>
      </c>
      <c r="B30" s="138" t="s">
        <v>363</v>
      </c>
      <c r="C30" s="138">
        <v>0.1</v>
      </c>
      <c r="D30" s="138">
        <v>10</v>
      </c>
      <c r="F30" s="139">
        <v>5000</v>
      </c>
      <c r="G30" s="79" t="s">
        <v>398</v>
      </c>
      <c r="H30" s="145"/>
      <c r="I30" s="145"/>
      <c r="J30" s="145"/>
      <c r="K30" s="145"/>
      <c r="L30" s="145"/>
      <c r="M30" s="145"/>
      <c r="N30" s="145"/>
      <c r="O30" s="145"/>
      <c r="P30" s="145"/>
      <c r="Q30" s="145"/>
      <c r="R30" s="145"/>
      <c r="S30" s="146"/>
      <c r="T30" s="146"/>
    </row>
    <row r="31" spans="1:20" ht="12.75">
      <c r="A31" t="s">
        <v>399</v>
      </c>
      <c r="B31" s="138" t="s">
        <v>363</v>
      </c>
      <c r="C31" s="138">
        <v>0.1</v>
      </c>
      <c r="D31" s="138">
        <v>4</v>
      </c>
      <c r="F31" s="139">
        <v>750</v>
      </c>
      <c r="G31" s="79" t="s">
        <v>400</v>
      </c>
      <c r="H31" s="145"/>
      <c r="I31" s="145"/>
      <c r="J31" s="145"/>
      <c r="K31" s="145"/>
      <c r="L31" s="145"/>
      <c r="M31" s="145"/>
      <c r="N31" s="145"/>
      <c r="O31" s="145"/>
      <c r="P31" s="145"/>
      <c r="Q31" s="145"/>
      <c r="R31" s="145"/>
      <c r="S31" s="146"/>
      <c r="T31" s="146"/>
    </row>
    <row r="32" spans="1:20" ht="12.75">
      <c r="A32" t="s">
        <v>401</v>
      </c>
      <c r="B32" s="138" t="s">
        <v>363</v>
      </c>
      <c r="C32" s="138">
        <v>0.1</v>
      </c>
      <c r="D32" s="138">
        <v>4</v>
      </c>
      <c r="F32" s="139">
        <v>500</v>
      </c>
      <c r="G32" t="s">
        <v>384</v>
      </c>
      <c r="H32" s="145"/>
      <c r="I32" s="145"/>
      <c r="J32" s="145"/>
      <c r="K32" s="145"/>
      <c r="L32" s="145"/>
      <c r="M32" s="145"/>
      <c r="N32" s="145"/>
      <c r="O32" s="145"/>
      <c r="P32" s="145"/>
      <c r="Q32" s="145"/>
      <c r="R32" s="145"/>
      <c r="S32" s="146"/>
      <c r="T32" s="146"/>
    </row>
    <row r="33" spans="1:20" ht="12.75">
      <c r="A33" t="s">
        <v>402</v>
      </c>
      <c r="B33" s="138" t="s">
        <v>363</v>
      </c>
      <c r="C33" s="138">
        <v>0.1</v>
      </c>
      <c r="D33" s="138">
        <v>3</v>
      </c>
      <c r="E33" s="144" t="s">
        <v>371</v>
      </c>
      <c r="F33" s="139">
        <v>1000</v>
      </c>
      <c r="G33" t="s">
        <v>384</v>
      </c>
      <c r="H33" s="145"/>
      <c r="I33" s="145"/>
      <c r="J33" s="145"/>
      <c r="K33" s="145"/>
      <c r="L33" s="145"/>
      <c r="M33" s="145"/>
      <c r="N33" s="145"/>
      <c r="O33" s="145"/>
      <c r="P33" s="145"/>
      <c r="Q33" s="145"/>
      <c r="R33" s="145"/>
      <c r="S33" s="146"/>
      <c r="T33" s="146"/>
    </row>
    <row r="34" spans="1:20" ht="12.75">
      <c r="A34" t="s">
        <v>403</v>
      </c>
      <c r="B34" s="138" t="s">
        <v>363</v>
      </c>
      <c r="C34" s="138">
        <v>0.1</v>
      </c>
      <c r="D34" s="138">
        <v>0</v>
      </c>
      <c r="F34" s="139">
        <v>250</v>
      </c>
      <c r="G34" t="s">
        <v>384</v>
      </c>
      <c r="H34" s="145"/>
      <c r="I34" s="145"/>
      <c r="J34" s="145"/>
      <c r="K34" s="145"/>
      <c r="L34" s="145"/>
      <c r="M34" s="145"/>
      <c r="N34" s="145"/>
      <c r="O34" s="145"/>
      <c r="P34" s="145"/>
      <c r="Q34" s="145"/>
      <c r="R34" s="145"/>
      <c r="S34" s="146"/>
      <c r="T34" s="146"/>
    </row>
    <row r="35" spans="1:20" ht="12.75">
      <c r="A35" t="s">
        <v>404</v>
      </c>
      <c r="B35" s="138" t="s">
        <v>363</v>
      </c>
      <c r="C35" s="138">
        <v>0.1</v>
      </c>
      <c r="D35" s="138">
        <v>8</v>
      </c>
      <c r="F35" s="139">
        <v>750</v>
      </c>
      <c r="G35" t="s">
        <v>384</v>
      </c>
      <c r="H35" s="145"/>
      <c r="I35" s="145"/>
      <c r="J35" s="145"/>
      <c r="K35" s="145"/>
      <c r="L35" s="145"/>
      <c r="M35" s="145"/>
      <c r="N35" s="145"/>
      <c r="O35" s="145"/>
      <c r="P35" s="145"/>
      <c r="Q35" s="145"/>
      <c r="R35" s="145"/>
      <c r="S35" s="146"/>
      <c r="T35" s="146"/>
    </row>
    <row r="36" spans="8:20" ht="12.75">
      <c r="H36" s="145"/>
      <c r="I36" s="145"/>
      <c r="J36" s="145"/>
      <c r="K36" s="145"/>
      <c r="L36" s="145"/>
      <c r="M36" s="145"/>
      <c r="N36" s="145"/>
      <c r="O36" s="145"/>
      <c r="P36" s="145"/>
      <c r="Q36" s="145"/>
      <c r="R36" s="145"/>
      <c r="S36" s="146"/>
      <c r="T36" s="146"/>
    </row>
    <row r="37" spans="1:20" ht="12.75">
      <c r="A37" s="67" t="s">
        <v>405</v>
      </c>
      <c r="H37" s="145"/>
      <c r="I37" s="145"/>
      <c r="J37" s="145"/>
      <c r="K37" s="145"/>
      <c r="L37" s="145"/>
      <c r="M37" s="145"/>
      <c r="N37" s="145"/>
      <c r="O37" s="145"/>
      <c r="P37" s="145"/>
      <c r="Q37" s="145"/>
      <c r="R37" s="145"/>
      <c r="S37" s="146"/>
      <c r="T37" s="146"/>
    </row>
    <row r="38" spans="1:20" ht="12.75">
      <c r="A38" t="s">
        <v>406</v>
      </c>
      <c r="B38" s="138" t="s">
        <v>363</v>
      </c>
      <c r="C38" s="138">
        <v>0.5</v>
      </c>
      <c r="D38" s="138">
        <v>8</v>
      </c>
      <c r="F38" s="139">
        <v>5000</v>
      </c>
      <c r="G38" s="79" t="s">
        <v>407</v>
      </c>
      <c r="H38" s="145"/>
      <c r="I38" s="145">
        <v>1</v>
      </c>
      <c r="J38" s="145"/>
      <c r="K38" s="145"/>
      <c r="L38" s="145"/>
      <c r="M38" s="145"/>
      <c r="N38" s="145"/>
      <c r="O38" s="145"/>
      <c r="P38" s="145"/>
      <c r="Q38" s="145"/>
      <c r="R38" s="145"/>
      <c r="S38" s="146"/>
      <c r="T38" s="146"/>
    </row>
    <row r="39" spans="1:20" ht="12.75">
      <c r="A39" t="s">
        <v>408</v>
      </c>
      <c r="B39" s="138" t="s">
        <v>363</v>
      </c>
      <c r="C39" s="138">
        <v>1</v>
      </c>
      <c r="D39" s="138">
        <v>12</v>
      </c>
      <c r="F39" s="139">
        <v>15000</v>
      </c>
      <c r="G39" s="79" t="s">
        <v>409</v>
      </c>
      <c r="H39" s="145"/>
      <c r="I39" s="145">
        <v>2</v>
      </c>
      <c r="J39" s="145"/>
      <c r="K39" s="145"/>
      <c r="L39" s="145"/>
      <c r="M39" s="145"/>
      <c r="N39" s="145"/>
      <c r="O39" s="145"/>
      <c r="P39" s="145"/>
      <c r="Q39" s="145"/>
      <c r="R39" s="145"/>
      <c r="S39" s="146">
        <v>1</v>
      </c>
      <c r="T39" s="146"/>
    </row>
    <row r="40" spans="1:20" ht="12.75">
      <c r="A40" t="s">
        <v>410</v>
      </c>
      <c r="B40" s="138" t="s">
        <v>363</v>
      </c>
      <c r="C40" s="138">
        <v>1.5</v>
      </c>
      <c r="D40" s="138">
        <v>16</v>
      </c>
      <c r="F40" s="139">
        <v>40000</v>
      </c>
      <c r="G40" s="79" t="s">
        <v>411</v>
      </c>
      <c r="H40" s="145"/>
      <c r="I40" s="145">
        <v>3</v>
      </c>
      <c r="J40" s="145"/>
      <c r="K40" s="145"/>
      <c r="L40" s="145"/>
      <c r="M40" s="145"/>
      <c r="N40" s="145"/>
      <c r="O40" s="145"/>
      <c r="P40" s="145"/>
      <c r="Q40" s="145"/>
      <c r="R40" s="145"/>
      <c r="S40" s="146">
        <v>1</v>
      </c>
      <c r="T40" s="146">
        <v>1</v>
      </c>
    </row>
    <row r="41" spans="1:20" ht="12.75">
      <c r="A41" t="s">
        <v>412</v>
      </c>
      <c r="B41" s="138" t="s">
        <v>363</v>
      </c>
      <c r="C41" s="138">
        <v>0.5</v>
      </c>
      <c r="D41" s="138">
        <v>5</v>
      </c>
      <c r="E41" s="144">
        <v>1</v>
      </c>
      <c r="F41" s="139">
        <v>5000</v>
      </c>
      <c r="G41" s="79" t="s">
        <v>413</v>
      </c>
      <c r="H41" s="145"/>
      <c r="I41" s="145"/>
      <c r="J41" s="145"/>
      <c r="K41" s="145"/>
      <c r="L41" s="145"/>
      <c r="M41" s="145"/>
      <c r="N41" s="145"/>
      <c r="O41" s="145"/>
      <c r="P41" s="145"/>
      <c r="Q41" s="145"/>
      <c r="R41" s="145"/>
      <c r="S41" s="146">
        <v>1</v>
      </c>
      <c r="T41" s="146">
        <v>1</v>
      </c>
    </row>
    <row r="42" spans="1:20" ht="12.75">
      <c r="A42" t="s">
        <v>414</v>
      </c>
      <c r="B42" s="138" t="s">
        <v>363</v>
      </c>
      <c r="C42" s="138">
        <v>0.1</v>
      </c>
      <c r="D42" s="138">
        <v>4</v>
      </c>
      <c r="F42" s="139">
        <v>750</v>
      </c>
      <c r="H42" s="145"/>
      <c r="I42" s="145"/>
      <c r="J42" s="145"/>
      <c r="K42" s="145"/>
      <c r="L42" s="145"/>
      <c r="M42" s="145"/>
      <c r="N42" s="145"/>
      <c r="O42" s="145"/>
      <c r="P42" s="145"/>
      <c r="Q42" s="145"/>
      <c r="R42" s="145"/>
      <c r="S42" s="146"/>
      <c r="T42" s="146"/>
    </row>
    <row r="43" spans="1:20" ht="12.75">
      <c r="A43" t="s">
        <v>415</v>
      </c>
      <c r="B43" s="138" t="s">
        <v>363</v>
      </c>
      <c r="C43" s="138">
        <v>0.5</v>
      </c>
      <c r="D43" s="138">
        <v>8</v>
      </c>
      <c r="F43" s="139">
        <v>1500</v>
      </c>
      <c r="H43" s="145"/>
      <c r="I43" s="145"/>
      <c r="J43" s="145"/>
      <c r="K43" s="145"/>
      <c r="L43" s="145"/>
      <c r="M43" s="145"/>
      <c r="N43" s="145"/>
      <c r="O43" s="145"/>
      <c r="P43" s="145"/>
      <c r="Q43" s="145"/>
      <c r="R43" s="145"/>
      <c r="S43" s="146"/>
      <c r="T43" s="146"/>
    </row>
    <row r="44" spans="1:20" ht="12.75">
      <c r="A44" t="s">
        <v>416</v>
      </c>
      <c r="B44" s="138" t="s">
        <v>363</v>
      </c>
      <c r="C44" s="138">
        <v>0.25</v>
      </c>
      <c r="D44" s="138">
        <v>4</v>
      </c>
      <c r="F44" s="139">
        <v>650</v>
      </c>
      <c r="H44" s="145"/>
      <c r="I44" s="145"/>
      <c r="J44" s="145"/>
      <c r="K44" s="145"/>
      <c r="L44" s="145"/>
      <c r="M44" s="145"/>
      <c r="N44" s="145"/>
      <c r="O44" s="145"/>
      <c r="P44" s="145"/>
      <c r="Q44" s="145"/>
      <c r="R44" s="145"/>
      <c r="S44" s="146"/>
      <c r="T44" s="146"/>
    </row>
    <row r="45" spans="1:20" ht="12.75">
      <c r="A45" t="s">
        <v>417</v>
      </c>
      <c r="B45" s="138" t="s">
        <v>363</v>
      </c>
      <c r="C45" s="138">
        <v>1</v>
      </c>
      <c r="D45" s="138">
        <v>5</v>
      </c>
      <c r="E45" s="144">
        <v>1</v>
      </c>
      <c r="F45" s="139">
        <v>5000</v>
      </c>
      <c r="G45" s="79" t="s">
        <v>418</v>
      </c>
      <c r="H45" s="145"/>
      <c r="I45" s="145"/>
      <c r="J45" s="145"/>
      <c r="K45" s="145">
        <v>1</v>
      </c>
      <c r="L45" s="145"/>
      <c r="M45" s="145">
        <v>1</v>
      </c>
      <c r="N45" s="145"/>
      <c r="O45" s="145"/>
      <c r="P45" s="145"/>
      <c r="Q45" s="145"/>
      <c r="R45" s="145"/>
      <c r="S45" s="146"/>
      <c r="T45" s="146"/>
    </row>
    <row r="46" spans="1:20" ht="12.75">
      <c r="A46" t="s">
        <v>419</v>
      </c>
      <c r="B46" s="138" t="s">
        <v>363</v>
      </c>
      <c r="C46" s="138">
        <v>0.3</v>
      </c>
      <c r="D46" s="138">
        <v>5</v>
      </c>
      <c r="E46" s="144">
        <v>1</v>
      </c>
      <c r="F46" s="139">
        <v>10000</v>
      </c>
      <c r="G46" s="79" t="s">
        <v>420</v>
      </c>
      <c r="H46" s="145"/>
      <c r="I46" s="145"/>
      <c r="J46" s="145"/>
      <c r="K46" s="145"/>
      <c r="L46" s="145">
        <v>1</v>
      </c>
      <c r="M46" s="145"/>
      <c r="N46" s="145"/>
      <c r="O46" s="145"/>
      <c r="P46" s="145"/>
      <c r="Q46" s="145"/>
      <c r="R46" s="145"/>
      <c r="S46" s="146"/>
      <c r="T46" s="146"/>
    </row>
    <row r="47" spans="1:20" ht="12.75">
      <c r="A47" t="s">
        <v>421</v>
      </c>
      <c r="B47" s="138" t="s">
        <v>363</v>
      </c>
      <c r="C47" s="138">
        <v>0.5</v>
      </c>
      <c r="D47" s="138">
        <v>8</v>
      </c>
      <c r="F47" s="139">
        <v>5000</v>
      </c>
      <c r="H47" s="145"/>
      <c r="I47" s="145"/>
      <c r="J47" s="145"/>
      <c r="K47" s="145"/>
      <c r="L47" s="145"/>
      <c r="M47" s="145"/>
      <c r="N47" s="145"/>
      <c r="O47" s="145"/>
      <c r="P47" s="145"/>
      <c r="Q47" s="145"/>
      <c r="R47" s="145"/>
      <c r="S47" s="146"/>
      <c r="T47" s="146"/>
    </row>
    <row r="48" spans="1:20" ht="12.75">
      <c r="A48" t="s">
        <v>422</v>
      </c>
      <c r="B48" s="138" t="s">
        <v>363</v>
      </c>
      <c r="C48" s="138">
        <v>0.2</v>
      </c>
      <c r="D48" s="138">
        <v>4</v>
      </c>
      <c r="E48" s="144">
        <v>1</v>
      </c>
      <c r="F48" s="139">
        <v>2000</v>
      </c>
      <c r="G48" t="s">
        <v>423</v>
      </c>
      <c r="H48" s="145"/>
      <c r="I48" s="145"/>
      <c r="J48" s="145"/>
      <c r="K48" s="145"/>
      <c r="L48" s="145"/>
      <c r="M48" s="145"/>
      <c r="N48" s="145"/>
      <c r="O48" s="145"/>
      <c r="P48" s="145"/>
      <c r="Q48" s="145"/>
      <c r="R48" s="145"/>
      <c r="S48" s="146"/>
      <c r="T48" s="146"/>
    </row>
    <row r="49" spans="1:20" ht="12.75">
      <c r="A49" t="s">
        <v>424</v>
      </c>
      <c r="B49" s="138" t="s">
        <v>363</v>
      </c>
      <c r="C49" s="138">
        <v>0.2</v>
      </c>
      <c r="D49" s="138">
        <v>6</v>
      </c>
      <c r="F49" s="139">
        <v>1500</v>
      </c>
      <c r="H49" s="145"/>
      <c r="I49" s="145"/>
      <c r="J49" s="145"/>
      <c r="K49" s="145"/>
      <c r="L49" s="145"/>
      <c r="M49" s="145"/>
      <c r="N49" s="145"/>
      <c r="O49" s="145"/>
      <c r="P49" s="145"/>
      <c r="Q49" s="145"/>
      <c r="R49" s="145"/>
      <c r="S49" s="146"/>
      <c r="T49" s="146"/>
    </row>
    <row r="50" spans="1:20" ht="12.75">
      <c r="A50" t="s">
        <v>425</v>
      </c>
      <c r="B50" s="138" t="s">
        <v>363</v>
      </c>
      <c r="C50" s="138">
        <v>0.1</v>
      </c>
      <c r="D50" s="138">
        <v>6</v>
      </c>
      <c r="F50" s="139">
        <v>1000</v>
      </c>
      <c r="H50" s="145"/>
      <c r="I50" s="145"/>
      <c r="J50" s="145"/>
      <c r="K50" s="145"/>
      <c r="L50" s="145"/>
      <c r="M50" s="145"/>
      <c r="N50" s="145"/>
      <c r="O50" s="145"/>
      <c r="P50" s="145"/>
      <c r="Q50" s="145"/>
      <c r="R50" s="145"/>
      <c r="S50" s="146"/>
      <c r="T50" s="146"/>
    </row>
    <row r="51" spans="1:20" ht="12.75">
      <c r="A51" t="s">
        <v>426</v>
      </c>
      <c r="B51" s="138" t="s">
        <v>363</v>
      </c>
      <c r="C51" s="138">
        <v>2</v>
      </c>
      <c r="D51" s="138">
        <v>8</v>
      </c>
      <c r="F51" s="139">
        <v>11000</v>
      </c>
      <c r="G51" s="79" t="s">
        <v>427</v>
      </c>
      <c r="H51" s="145"/>
      <c r="I51" s="145"/>
      <c r="J51" s="145"/>
      <c r="K51" s="145"/>
      <c r="L51" s="145">
        <v>1</v>
      </c>
      <c r="M51" s="145"/>
      <c r="N51" s="145"/>
      <c r="O51" s="145"/>
      <c r="P51" s="145"/>
      <c r="Q51" s="145"/>
      <c r="R51" s="145">
        <v>1</v>
      </c>
      <c r="S51" s="146"/>
      <c r="T51" s="146"/>
    </row>
    <row r="52" spans="1:20" ht="12.75">
      <c r="A52" t="s">
        <v>428</v>
      </c>
      <c r="B52" s="138" t="s">
        <v>363</v>
      </c>
      <c r="C52" s="138">
        <v>3</v>
      </c>
      <c r="D52" s="138">
        <v>12</v>
      </c>
      <c r="F52" s="139">
        <v>32000</v>
      </c>
      <c r="G52" s="79" t="s">
        <v>429</v>
      </c>
      <c r="H52" s="145"/>
      <c r="I52" s="145"/>
      <c r="J52" s="145"/>
      <c r="K52" s="145"/>
      <c r="L52" s="145">
        <v>2</v>
      </c>
      <c r="M52" s="145"/>
      <c r="N52" s="145"/>
      <c r="O52" s="145"/>
      <c r="P52" s="145"/>
      <c r="Q52" s="145"/>
      <c r="R52" s="145">
        <v>2</v>
      </c>
      <c r="S52" s="146"/>
      <c r="T52" s="146"/>
    </row>
    <row r="53" spans="1:20" ht="12.75">
      <c r="A53" t="s">
        <v>430</v>
      </c>
      <c r="B53" s="138" t="s">
        <v>363</v>
      </c>
      <c r="C53" s="138">
        <v>5</v>
      </c>
      <c r="D53" s="138">
        <v>20</v>
      </c>
      <c r="F53" s="139">
        <v>100000</v>
      </c>
      <c r="G53" s="79" t="s">
        <v>431</v>
      </c>
      <c r="H53" s="145"/>
      <c r="I53" s="145"/>
      <c r="J53" s="145"/>
      <c r="K53" s="145"/>
      <c r="L53" s="145">
        <v>3</v>
      </c>
      <c r="M53" s="145"/>
      <c r="N53" s="145"/>
      <c r="O53" s="145"/>
      <c r="P53" s="145"/>
      <c r="Q53" s="145"/>
      <c r="R53" s="145">
        <v>3</v>
      </c>
      <c r="S53" s="146"/>
      <c r="T53" s="146"/>
    </row>
    <row r="54" spans="7:20" ht="12.75">
      <c r="G54" s="79"/>
      <c r="H54" s="145"/>
      <c r="I54" s="145"/>
      <c r="J54" s="145"/>
      <c r="K54" s="145"/>
      <c r="L54" s="145"/>
      <c r="M54" s="145"/>
      <c r="N54" s="145"/>
      <c r="O54" s="145"/>
      <c r="P54" s="145"/>
      <c r="Q54" s="145"/>
      <c r="R54" s="145"/>
      <c r="S54" s="146"/>
      <c r="T54" s="146"/>
    </row>
    <row r="55" spans="1:20" ht="12.75">
      <c r="A55" s="67" t="s">
        <v>432</v>
      </c>
      <c r="B55" s="147"/>
      <c r="C55" s="147"/>
      <c r="D55" s="147"/>
      <c r="E55" s="147"/>
      <c r="F55" s="142"/>
      <c r="G55" s="79"/>
      <c r="H55" s="145"/>
      <c r="I55" s="145"/>
      <c r="J55" s="145"/>
      <c r="K55" s="145"/>
      <c r="L55" s="145"/>
      <c r="M55" s="145"/>
      <c r="N55" s="145"/>
      <c r="O55" s="145"/>
      <c r="P55" s="145"/>
      <c r="Q55" s="145"/>
      <c r="R55" s="145"/>
      <c r="S55" s="146"/>
      <c r="T55" s="146"/>
    </row>
    <row r="56" spans="1:20" ht="12.75">
      <c r="A56" t="s">
        <v>433</v>
      </c>
      <c r="B56" s="138" t="s">
        <v>363</v>
      </c>
      <c r="C56" s="138">
        <v>0.15</v>
      </c>
      <c r="D56" s="138">
        <v>12</v>
      </c>
      <c r="F56" s="139">
        <v>800</v>
      </c>
      <c r="G56" s="79"/>
      <c r="H56" s="145"/>
      <c r="I56" s="145"/>
      <c r="J56" s="145"/>
      <c r="K56" s="145"/>
      <c r="L56" s="145"/>
      <c r="M56" s="145"/>
      <c r="N56" s="145"/>
      <c r="O56" s="145"/>
      <c r="P56" s="145"/>
      <c r="Q56" s="145"/>
      <c r="R56" s="145"/>
      <c r="S56" s="146"/>
      <c r="T56" s="146"/>
    </row>
    <row r="57" spans="1:20" ht="12.75">
      <c r="A57" t="s">
        <v>434</v>
      </c>
      <c r="B57" s="138" t="s">
        <v>363</v>
      </c>
      <c r="C57" s="138">
        <v>0.35</v>
      </c>
      <c r="D57" s="138">
        <v>14</v>
      </c>
      <c r="F57" s="139">
        <v>1500</v>
      </c>
      <c r="G57" s="79"/>
      <c r="H57" s="145"/>
      <c r="I57" s="145"/>
      <c r="J57" s="145"/>
      <c r="K57" s="145"/>
      <c r="L57" s="145"/>
      <c r="M57" s="145"/>
      <c r="N57" s="145"/>
      <c r="O57" s="145"/>
      <c r="P57" s="145"/>
      <c r="Q57" s="145"/>
      <c r="R57" s="145"/>
      <c r="S57" s="146"/>
      <c r="T57" s="146"/>
    </row>
    <row r="58" spans="1:20" ht="12.75">
      <c r="A58" t="s">
        <v>435</v>
      </c>
      <c r="B58" s="138" t="s">
        <v>363</v>
      </c>
      <c r="C58" s="138">
        <v>0.4</v>
      </c>
      <c r="D58" s="138">
        <v>16</v>
      </c>
      <c r="F58" s="139">
        <v>2000</v>
      </c>
      <c r="G58" s="79"/>
      <c r="H58" s="145"/>
      <c r="I58" s="145"/>
      <c r="J58" s="145"/>
      <c r="K58" s="145"/>
      <c r="L58" s="145"/>
      <c r="M58" s="145"/>
      <c r="N58" s="145"/>
      <c r="O58" s="145"/>
      <c r="P58" s="145"/>
      <c r="Q58" s="145"/>
      <c r="R58" s="145"/>
      <c r="S58" s="146"/>
      <c r="T58" s="146"/>
    </row>
    <row r="59" spans="1:20" ht="12.75">
      <c r="A59" t="s">
        <v>436</v>
      </c>
      <c r="B59" s="138" t="s">
        <v>363</v>
      </c>
      <c r="C59" s="138">
        <v>0.6</v>
      </c>
      <c r="D59" s="138">
        <v>16</v>
      </c>
      <c r="F59" s="139">
        <v>3200</v>
      </c>
      <c r="G59" s="79"/>
      <c r="H59" s="145"/>
      <c r="I59" s="145"/>
      <c r="J59" s="145"/>
      <c r="K59" s="145"/>
      <c r="L59" s="145"/>
      <c r="M59" s="145"/>
      <c r="N59" s="145"/>
      <c r="O59" s="145"/>
      <c r="P59" s="145"/>
      <c r="Q59" s="145"/>
      <c r="R59" s="145"/>
      <c r="S59" s="146"/>
      <c r="T59" s="146"/>
    </row>
    <row r="60" spans="1:20" ht="12.75">
      <c r="A60" t="s">
        <v>437</v>
      </c>
      <c r="B60" s="138" t="s">
        <v>363</v>
      </c>
      <c r="C60" s="138">
        <v>1</v>
      </c>
      <c r="D60" s="138">
        <v>20</v>
      </c>
      <c r="F60" s="139">
        <v>2500</v>
      </c>
      <c r="G60" s="79"/>
      <c r="H60" s="145"/>
      <c r="I60" s="145"/>
      <c r="J60" s="145"/>
      <c r="K60" s="145"/>
      <c r="L60" s="145"/>
      <c r="M60" s="145"/>
      <c r="N60" s="145"/>
      <c r="O60" s="145"/>
      <c r="P60" s="145"/>
      <c r="Q60" s="145"/>
      <c r="R60" s="145"/>
      <c r="S60" s="146"/>
      <c r="T60" s="146"/>
    </row>
    <row r="61" spans="1:20" ht="12.75">
      <c r="A61" t="s">
        <v>438</v>
      </c>
      <c r="B61" s="138" t="s">
        <v>363</v>
      </c>
      <c r="C61" s="138">
        <v>1.1</v>
      </c>
      <c r="D61" s="138">
        <v>20</v>
      </c>
      <c r="F61" s="139">
        <v>2100</v>
      </c>
      <c r="G61" s="79"/>
      <c r="H61" s="145"/>
      <c r="I61" s="145"/>
      <c r="J61" s="145"/>
      <c r="K61" s="145"/>
      <c r="L61" s="145"/>
      <c r="M61" s="145"/>
      <c r="N61" s="145"/>
      <c r="O61" s="145"/>
      <c r="P61" s="145"/>
      <c r="Q61" s="145"/>
      <c r="R61" s="145"/>
      <c r="S61" s="146"/>
      <c r="T61" s="146"/>
    </row>
    <row r="62" spans="1:20" ht="12.75">
      <c r="A62" t="s">
        <v>439</v>
      </c>
      <c r="B62" s="138" t="s">
        <v>363</v>
      </c>
      <c r="C62" s="138">
        <v>1.5</v>
      </c>
      <c r="D62" s="138">
        <v>20</v>
      </c>
      <c r="F62" s="139">
        <v>4000</v>
      </c>
      <c r="G62" s="79"/>
      <c r="H62" s="145"/>
      <c r="I62" s="145"/>
      <c r="J62" s="145"/>
      <c r="K62" s="145"/>
      <c r="L62" s="145"/>
      <c r="M62" s="145"/>
      <c r="N62" s="145"/>
      <c r="O62" s="145"/>
      <c r="P62" s="145"/>
      <c r="Q62" s="145"/>
      <c r="R62" s="145"/>
      <c r="S62" s="146"/>
      <c r="T62" s="146"/>
    </row>
    <row r="63" spans="1:20" ht="12.75">
      <c r="A63" t="s">
        <v>440</v>
      </c>
      <c r="B63" s="138" t="s">
        <v>363</v>
      </c>
      <c r="C63" s="138">
        <v>0.1</v>
      </c>
      <c r="D63" s="138">
        <v>0</v>
      </c>
      <c r="F63" s="139">
        <v>100</v>
      </c>
      <c r="G63" s="79"/>
      <c r="H63" s="145"/>
      <c r="I63" s="145"/>
      <c r="J63" s="145"/>
      <c r="K63" s="145"/>
      <c r="L63" s="145"/>
      <c r="M63" s="145"/>
      <c r="N63" s="145"/>
      <c r="O63" s="145"/>
      <c r="P63" s="145"/>
      <c r="Q63" s="145"/>
      <c r="R63" s="145"/>
      <c r="S63" s="146"/>
      <c r="T63" s="146"/>
    </row>
    <row r="64" spans="1:20" ht="12.75">
      <c r="A64" t="s">
        <v>441</v>
      </c>
      <c r="B64" s="138" t="s">
        <v>363</v>
      </c>
      <c r="C64" s="138">
        <v>0.1</v>
      </c>
      <c r="D64" s="138">
        <v>0</v>
      </c>
      <c r="F64" s="139">
        <v>100</v>
      </c>
      <c r="G64" s="79"/>
      <c r="H64" s="145"/>
      <c r="I64" s="145"/>
      <c r="J64" s="145"/>
      <c r="K64" s="145"/>
      <c r="L64" s="145"/>
      <c r="M64" s="145"/>
      <c r="N64" s="145"/>
      <c r="O64" s="145"/>
      <c r="P64" s="145"/>
      <c r="Q64" s="145"/>
      <c r="R64" s="145"/>
      <c r="S64" s="146"/>
      <c r="T64" s="146"/>
    </row>
    <row r="65" spans="1:20" ht="12.75">
      <c r="A65" t="s">
        <v>442</v>
      </c>
      <c r="B65" s="138" t="s">
        <v>363</v>
      </c>
      <c r="C65" s="138">
        <v>0.2</v>
      </c>
      <c r="D65" s="138">
        <v>0</v>
      </c>
      <c r="F65" s="139">
        <v>400</v>
      </c>
      <c r="G65" s="79"/>
      <c r="H65" s="145"/>
      <c r="I65" s="145"/>
      <c r="J65" s="145"/>
      <c r="K65" s="145"/>
      <c r="L65" s="145"/>
      <c r="M65" s="145"/>
      <c r="N65" s="145"/>
      <c r="O65" s="145"/>
      <c r="P65" s="145"/>
      <c r="Q65" s="145"/>
      <c r="R65" s="145"/>
      <c r="S65" s="146"/>
      <c r="T65" s="146"/>
    </row>
    <row r="66" spans="1:20" ht="12.75">
      <c r="A66" t="s">
        <v>443</v>
      </c>
      <c r="B66" s="138" t="s">
        <v>363</v>
      </c>
      <c r="C66" s="138">
        <v>0.3</v>
      </c>
      <c r="D66" s="138">
        <v>0</v>
      </c>
      <c r="F66" s="139">
        <v>600</v>
      </c>
      <c r="G66" s="79"/>
      <c r="H66" s="145"/>
      <c r="I66" s="145"/>
      <c r="J66" s="145"/>
      <c r="K66" s="145"/>
      <c r="L66" s="145"/>
      <c r="M66" s="145"/>
      <c r="N66" s="145"/>
      <c r="O66" s="145"/>
      <c r="P66" s="145"/>
      <c r="Q66" s="145"/>
      <c r="R66" s="145"/>
      <c r="S66" s="146"/>
      <c r="T66" s="146"/>
    </row>
    <row r="67" spans="7:20" ht="12.75">
      <c r="G67" s="79"/>
      <c r="H67" s="145"/>
      <c r="I67" s="145"/>
      <c r="J67" s="145"/>
      <c r="K67" s="145"/>
      <c r="L67" s="145"/>
      <c r="M67" s="145"/>
      <c r="N67" s="145"/>
      <c r="O67" s="145"/>
      <c r="P67" s="145"/>
      <c r="Q67" s="145"/>
      <c r="R67" s="145"/>
      <c r="S67" s="146"/>
      <c r="T67" s="146"/>
    </row>
    <row r="68" spans="1:20" ht="12.75">
      <c r="A68" s="67" t="s">
        <v>444</v>
      </c>
      <c r="B68" s="147"/>
      <c r="C68" s="147"/>
      <c r="D68" s="147"/>
      <c r="E68" s="147"/>
      <c r="F68" s="142"/>
      <c r="G68" s="79"/>
      <c r="H68" s="145"/>
      <c r="I68" s="145"/>
      <c r="J68" s="145"/>
      <c r="K68" s="145"/>
      <c r="L68" s="145"/>
      <c r="M68" s="145"/>
      <c r="N68" s="145"/>
      <c r="O68" s="145"/>
      <c r="P68" s="145"/>
      <c r="Q68" s="145"/>
      <c r="R68" s="145"/>
      <c r="S68" s="146"/>
      <c r="T68" s="146"/>
    </row>
    <row r="69" spans="1:20" ht="12.75">
      <c r="A69" t="s">
        <v>445</v>
      </c>
      <c r="B69" s="138" t="s">
        <v>363</v>
      </c>
      <c r="C69" s="138">
        <v>0.25</v>
      </c>
      <c r="D69" s="138">
        <v>10</v>
      </c>
      <c r="F69" s="139">
        <v>1500</v>
      </c>
      <c r="G69" s="79"/>
      <c r="H69" s="145"/>
      <c r="I69" s="145"/>
      <c r="J69" s="145"/>
      <c r="K69" s="145"/>
      <c r="L69" s="145"/>
      <c r="M69" s="145"/>
      <c r="N69" s="145"/>
      <c r="O69" s="145"/>
      <c r="P69" s="145"/>
      <c r="Q69" s="145"/>
      <c r="R69" s="145"/>
      <c r="S69" s="146"/>
      <c r="T69" s="146"/>
    </row>
    <row r="70" spans="1:20" ht="12.75">
      <c r="A70" t="s">
        <v>446</v>
      </c>
      <c r="B70" s="138" t="s">
        <v>363</v>
      </c>
      <c r="C70" s="138">
        <v>0.2</v>
      </c>
      <c r="D70" s="138">
        <v>10</v>
      </c>
      <c r="F70" s="139">
        <v>900</v>
      </c>
      <c r="G70" s="79"/>
      <c r="H70" s="145"/>
      <c r="I70" s="145"/>
      <c r="J70" s="145"/>
      <c r="K70" s="145"/>
      <c r="L70" s="145"/>
      <c r="M70" s="145"/>
      <c r="N70" s="145"/>
      <c r="O70" s="145"/>
      <c r="P70" s="145"/>
      <c r="Q70" s="145"/>
      <c r="R70" s="145"/>
      <c r="S70" s="146"/>
      <c r="T70" s="146"/>
    </row>
    <row r="71" spans="1:20" ht="12.75">
      <c r="A71" t="s">
        <v>447</v>
      </c>
      <c r="B71" s="138" t="s">
        <v>363</v>
      </c>
      <c r="C71" s="138">
        <v>0.3</v>
      </c>
      <c r="D71" s="138">
        <v>12</v>
      </c>
      <c r="F71" s="139">
        <v>1800</v>
      </c>
      <c r="G71" s="79"/>
      <c r="H71" s="145"/>
      <c r="I71" s="145"/>
      <c r="J71" s="145"/>
      <c r="K71" s="145"/>
      <c r="L71" s="145"/>
      <c r="M71" s="145"/>
      <c r="N71" s="145"/>
      <c r="O71" s="145"/>
      <c r="P71" s="145"/>
      <c r="Q71" s="145"/>
      <c r="R71" s="145"/>
      <c r="S71" s="146"/>
      <c r="T71" s="146"/>
    </row>
    <row r="72" spans="1:20" ht="12.75">
      <c r="A72" t="s">
        <v>448</v>
      </c>
      <c r="B72" s="138" t="s">
        <v>363</v>
      </c>
      <c r="C72" s="138">
        <v>0.25</v>
      </c>
      <c r="D72" s="138">
        <v>8</v>
      </c>
      <c r="F72" s="139">
        <v>1000</v>
      </c>
      <c r="G72" s="79"/>
      <c r="H72" s="145"/>
      <c r="I72" s="145"/>
      <c r="J72" s="145"/>
      <c r="K72" s="145"/>
      <c r="L72" s="145"/>
      <c r="M72" s="145"/>
      <c r="N72" s="145"/>
      <c r="O72" s="145"/>
      <c r="P72" s="145"/>
      <c r="Q72" s="145"/>
      <c r="R72" s="145"/>
      <c r="S72" s="146"/>
      <c r="T72" s="146"/>
    </row>
    <row r="73" spans="7:20" ht="12.75">
      <c r="G73" s="79"/>
      <c r="H73" s="145"/>
      <c r="I73" s="145"/>
      <c r="J73" s="145"/>
      <c r="K73" s="145"/>
      <c r="L73" s="145"/>
      <c r="M73" s="145"/>
      <c r="N73" s="145"/>
      <c r="O73" s="145"/>
      <c r="P73" s="145"/>
      <c r="Q73" s="145"/>
      <c r="R73" s="145"/>
      <c r="S73" s="146"/>
      <c r="T73" s="146"/>
    </row>
    <row r="74" spans="1:20" ht="12.75">
      <c r="A74" s="67" t="s">
        <v>449</v>
      </c>
      <c r="H74" s="145"/>
      <c r="I74" s="145"/>
      <c r="J74" s="145"/>
      <c r="K74" s="145"/>
      <c r="L74" s="145"/>
      <c r="M74" s="145"/>
      <c r="N74" s="145"/>
      <c r="O74" s="145"/>
      <c r="P74" s="145"/>
      <c r="Q74" s="145"/>
      <c r="R74" s="145"/>
      <c r="S74" s="146"/>
      <c r="T74" s="146"/>
    </row>
    <row r="75" spans="1:20" ht="12.75">
      <c r="A75" t="s">
        <v>450</v>
      </c>
      <c r="B75" s="138" t="s">
        <v>451</v>
      </c>
      <c r="C75" s="138">
        <v>0.75</v>
      </c>
      <c r="D75" s="138">
        <v>6</v>
      </c>
      <c r="E75" s="144">
        <v>1</v>
      </c>
      <c r="F75" s="139">
        <v>30000</v>
      </c>
      <c r="G75" s="79" t="s">
        <v>452</v>
      </c>
      <c r="H75" s="145"/>
      <c r="I75" s="145"/>
      <c r="J75" s="145"/>
      <c r="K75" s="145"/>
      <c r="L75" s="145"/>
      <c r="M75" s="145"/>
      <c r="N75" s="145"/>
      <c r="O75" s="145"/>
      <c r="P75" s="145"/>
      <c r="Q75" s="145"/>
      <c r="R75" s="145"/>
      <c r="S75" s="146"/>
      <c r="T75" s="146"/>
    </row>
    <row r="76" spans="1:20" ht="12.75">
      <c r="A76" t="s">
        <v>453</v>
      </c>
      <c r="B76" s="138" t="s">
        <v>451</v>
      </c>
      <c r="C76" s="138">
        <v>0.3</v>
      </c>
      <c r="D76" s="138">
        <v>12</v>
      </c>
      <c r="E76" s="144" t="s">
        <v>390</v>
      </c>
      <c r="F76" s="139">
        <v>20000</v>
      </c>
      <c r="G76" s="79" t="s">
        <v>454</v>
      </c>
      <c r="H76" s="145"/>
      <c r="I76" s="145">
        <v>1</v>
      </c>
      <c r="J76" s="145"/>
      <c r="K76" s="145"/>
      <c r="L76" s="145"/>
      <c r="M76" s="145"/>
      <c r="N76" s="145"/>
      <c r="O76" s="145"/>
      <c r="P76" s="145"/>
      <c r="Q76" s="145"/>
      <c r="R76" s="145"/>
      <c r="S76" s="146"/>
      <c r="T76" s="146"/>
    </row>
    <row r="77" spans="1:20" ht="12.75">
      <c r="A77" t="s">
        <v>455</v>
      </c>
      <c r="B77" s="138" t="s">
        <v>451</v>
      </c>
      <c r="C77" s="138">
        <v>0.1</v>
      </c>
      <c r="D77" s="138">
        <v>4</v>
      </c>
      <c r="F77" s="139">
        <v>7500</v>
      </c>
      <c r="G77" t="s">
        <v>456</v>
      </c>
      <c r="H77" s="145"/>
      <c r="I77" s="145"/>
      <c r="J77" s="145"/>
      <c r="K77" s="145"/>
      <c r="L77" s="145"/>
      <c r="M77" s="145"/>
      <c r="N77" s="145"/>
      <c r="O77" s="145"/>
      <c r="P77" s="145"/>
      <c r="Q77" s="145"/>
      <c r="R77" s="145"/>
      <c r="S77" s="146"/>
      <c r="T77" s="146"/>
    </row>
    <row r="78" spans="1:20" ht="12.75">
      <c r="A78" t="s">
        <v>457</v>
      </c>
      <c r="B78" s="138" t="s">
        <v>451</v>
      </c>
      <c r="C78" s="138">
        <v>0.5</v>
      </c>
      <c r="D78" s="138">
        <v>4</v>
      </c>
      <c r="F78" s="139">
        <v>20000</v>
      </c>
      <c r="G78" s="79" t="s">
        <v>458</v>
      </c>
      <c r="H78" s="145"/>
      <c r="I78" s="145"/>
      <c r="J78" s="145"/>
      <c r="K78" s="145"/>
      <c r="L78" s="145"/>
      <c r="M78" s="145"/>
      <c r="N78" s="145"/>
      <c r="O78" s="145"/>
      <c r="P78" s="145"/>
      <c r="Q78" s="145"/>
      <c r="R78" s="145"/>
      <c r="S78" s="146"/>
      <c r="T78" s="146"/>
    </row>
    <row r="79" spans="1:20" ht="12.75">
      <c r="A79" t="s">
        <v>459</v>
      </c>
      <c r="B79" s="138" t="s">
        <v>451</v>
      </c>
      <c r="C79" s="138">
        <v>0.3</v>
      </c>
      <c r="D79" s="138">
        <v>12</v>
      </c>
      <c r="F79" s="139">
        <v>40000</v>
      </c>
      <c r="G79" s="79" t="s">
        <v>460</v>
      </c>
      <c r="H79" s="145"/>
      <c r="I79" s="145"/>
      <c r="J79" s="145"/>
      <c r="K79" s="145"/>
      <c r="L79" s="145"/>
      <c r="M79" s="145"/>
      <c r="N79" s="145"/>
      <c r="O79" s="145"/>
      <c r="P79" s="145"/>
      <c r="Q79" s="145"/>
      <c r="R79" s="145"/>
      <c r="S79" s="146"/>
      <c r="T79" s="146"/>
    </row>
    <row r="80" spans="1:20" ht="12.75">
      <c r="A80" t="s">
        <v>461</v>
      </c>
      <c r="B80" s="138" t="s">
        <v>451</v>
      </c>
      <c r="C80" s="138">
        <v>0.2</v>
      </c>
      <c r="D80" s="138">
        <v>5</v>
      </c>
      <c r="E80" s="144">
        <v>1</v>
      </c>
      <c r="F80" s="139">
        <v>7000</v>
      </c>
      <c r="G80" s="79" t="s">
        <v>462</v>
      </c>
      <c r="H80" s="145"/>
      <c r="I80" s="145"/>
      <c r="J80" s="145"/>
      <c r="K80" s="145"/>
      <c r="L80" s="145"/>
      <c r="M80" s="145">
        <v>1</v>
      </c>
      <c r="N80" s="145"/>
      <c r="O80" s="145"/>
      <c r="P80" s="145"/>
      <c r="Q80" s="145"/>
      <c r="R80" s="145"/>
      <c r="S80" s="146"/>
      <c r="T80" s="146"/>
    </row>
    <row r="81" spans="1:20" ht="12.75">
      <c r="A81" t="s">
        <v>463</v>
      </c>
      <c r="B81" s="138" t="s">
        <v>451</v>
      </c>
      <c r="C81" s="138">
        <v>0.2</v>
      </c>
      <c r="D81" s="138">
        <v>5</v>
      </c>
      <c r="E81" s="144">
        <v>1</v>
      </c>
      <c r="F81" s="139">
        <v>8000</v>
      </c>
      <c r="G81" s="79" t="s">
        <v>464</v>
      </c>
      <c r="H81" s="145"/>
      <c r="I81" s="145"/>
      <c r="J81" s="145"/>
      <c r="K81" s="145">
        <v>1</v>
      </c>
      <c r="L81" s="145"/>
      <c r="M81" s="145"/>
      <c r="N81" s="145"/>
      <c r="O81" s="145"/>
      <c r="P81" s="145"/>
      <c r="Q81" s="145"/>
      <c r="R81" s="145"/>
      <c r="S81" s="146"/>
      <c r="T81" s="146"/>
    </row>
    <row r="82" spans="1:20" ht="12.75">
      <c r="A82" t="s">
        <v>465</v>
      </c>
      <c r="B82" s="138" t="s">
        <v>451</v>
      </c>
      <c r="C82" s="138">
        <v>0.25</v>
      </c>
      <c r="D82" s="138">
        <v>4</v>
      </c>
      <c r="E82" s="144">
        <v>1</v>
      </c>
      <c r="F82" s="139">
        <v>30000</v>
      </c>
      <c r="G82" s="79" t="s">
        <v>466</v>
      </c>
      <c r="H82" s="145"/>
      <c r="I82" s="145"/>
      <c r="J82" s="145"/>
      <c r="K82" s="145"/>
      <c r="L82" s="145"/>
      <c r="M82" s="145"/>
      <c r="N82" s="145"/>
      <c r="O82" s="145"/>
      <c r="P82" s="145"/>
      <c r="Q82" s="145"/>
      <c r="R82" s="145"/>
      <c r="S82" s="146">
        <v>1</v>
      </c>
      <c r="T82" s="146">
        <v>1</v>
      </c>
    </row>
    <row r="83" spans="1:20" ht="12.75">
      <c r="A83" t="s">
        <v>467</v>
      </c>
      <c r="B83" s="138" t="s">
        <v>451</v>
      </c>
      <c r="C83" s="138">
        <v>0.1</v>
      </c>
      <c r="D83" s="138">
        <v>8</v>
      </c>
      <c r="E83" s="144" t="s">
        <v>390</v>
      </c>
      <c r="F83" s="139">
        <v>10000</v>
      </c>
      <c r="G83" s="79" t="s">
        <v>468</v>
      </c>
      <c r="H83" s="145"/>
      <c r="I83" s="145"/>
      <c r="J83" s="145"/>
      <c r="K83" s="145"/>
      <c r="L83" s="145"/>
      <c r="M83" s="145"/>
      <c r="N83" s="145"/>
      <c r="O83" s="145"/>
      <c r="P83" s="145"/>
      <c r="Q83" s="145"/>
      <c r="R83" s="145"/>
      <c r="S83" s="146"/>
      <c r="T83" s="146"/>
    </row>
    <row r="84" spans="1:20" ht="12.75">
      <c r="A84" t="s">
        <v>469</v>
      </c>
      <c r="B84" s="138" t="s">
        <v>451</v>
      </c>
      <c r="C84" s="138">
        <v>0.2</v>
      </c>
      <c r="D84" s="138">
        <v>12</v>
      </c>
      <c r="F84" s="139">
        <v>25000</v>
      </c>
      <c r="G84" s="79" t="s">
        <v>470</v>
      </c>
      <c r="H84" s="145"/>
      <c r="I84" s="145"/>
      <c r="J84" s="145"/>
      <c r="K84" s="145"/>
      <c r="L84" s="145"/>
      <c r="M84" s="145"/>
      <c r="N84" s="145"/>
      <c r="O84" s="145"/>
      <c r="P84" s="145"/>
      <c r="Q84" s="145"/>
      <c r="R84" s="145"/>
      <c r="S84" s="146"/>
      <c r="T84" s="146"/>
    </row>
    <row r="85" spans="1:20" ht="12.75">
      <c r="A85" t="s">
        <v>471</v>
      </c>
      <c r="B85" s="138" t="s">
        <v>451</v>
      </c>
      <c r="C85" s="138">
        <v>0.1</v>
      </c>
      <c r="D85" s="138">
        <v>4</v>
      </c>
      <c r="F85" s="139">
        <v>5000</v>
      </c>
      <c r="H85" s="145"/>
      <c r="I85" s="145"/>
      <c r="J85" s="145"/>
      <c r="K85" s="145"/>
      <c r="L85" s="145"/>
      <c r="M85" s="145"/>
      <c r="N85" s="145"/>
      <c r="O85" s="145"/>
      <c r="P85" s="145"/>
      <c r="Q85" s="145"/>
      <c r="R85" s="145"/>
      <c r="S85" s="146"/>
      <c r="T85" s="146"/>
    </row>
    <row r="86" spans="1:20" ht="12.75">
      <c r="A86" t="s">
        <v>472</v>
      </c>
      <c r="B86" s="138" t="s">
        <v>451</v>
      </c>
      <c r="C86" s="138">
        <v>0.7</v>
      </c>
      <c r="D86" s="138">
        <v>20</v>
      </c>
      <c r="F86" s="139">
        <v>45000</v>
      </c>
      <c r="G86" s="79" t="s">
        <v>473</v>
      </c>
      <c r="H86" s="145">
        <v>1</v>
      </c>
      <c r="I86" s="145"/>
      <c r="J86" s="145"/>
      <c r="K86" s="145">
        <v>1</v>
      </c>
      <c r="L86" s="145">
        <v>1</v>
      </c>
      <c r="M86" s="145">
        <v>1</v>
      </c>
      <c r="N86" s="145"/>
      <c r="O86" s="145"/>
      <c r="P86" s="145"/>
      <c r="Q86" s="145"/>
      <c r="R86" s="145"/>
      <c r="S86" s="146"/>
      <c r="T86" s="146"/>
    </row>
    <row r="87" spans="1:20" ht="12.75">
      <c r="A87" t="s">
        <v>474</v>
      </c>
      <c r="B87" s="138" t="s">
        <v>451</v>
      </c>
      <c r="C87" s="138">
        <v>0.2</v>
      </c>
      <c r="D87" s="138">
        <v>5</v>
      </c>
      <c r="E87" s="144">
        <v>1</v>
      </c>
      <c r="F87" s="139">
        <v>10000</v>
      </c>
      <c r="G87" s="79" t="s">
        <v>475</v>
      </c>
      <c r="H87" s="145"/>
      <c r="I87" s="145"/>
      <c r="J87" s="145"/>
      <c r="K87" s="145"/>
      <c r="L87" s="145"/>
      <c r="M87" s="145"/>
      <c r="N87" s="145"/>
      <c r="O87" s="145"/>
      <c r="P87" s="145"/>
      <c r="Q87" s="145"/>
      <c r="R87" s="145"/>
      <c r="S87" s="146"/>
      <c r="T87" s="146"/>
    </row>
    <row r="88" spans="1:20" ht="12.75">
      <c r="A88" t="s">
        <v>476</v>
      </c>
      <c r="B88" s="138" t="s">
        <v>451</v>
      </c>
      <c r="C88" s="138">
        <v>0.1</v>
      </c>
      <c r="D88" s="138">
        <v>4</v>
      </c>
      <c r="E88" s="144">
        <v>1</v>
      </c>
      <c r="F88" s="139">
        <v>10000</v>
      </c>
      <c r="G88" s="79" t="s">
        <v>477</v>
      </c>
      <c r="H88" s="145"/>
      <c r="I88" s="145"/>
      <c r="J88" s="145"/>
      <c r="K88" s="145"/>
      <c r="L88" s="145"/>
      <c r="M88" s="145"/>
      <c r="N88" s="145"/>
      <c r="O88" s="145"/>
      <c r="P88" s="145"/>
      <c r="Q88" s="145"/>
      <c r="R88" s="145"/>
      <c r="S88" s="146"/>
      <c r="T88" s="146"/>
    </row>
    <row r="89" spans="1:20" ht="12.75">
      <c r="A89" t="s">
        <v>478</v>
      </c>
      <c r="B89" s="138" t="s">
        <v>451</v>
      </c>
      <c r="C89" s="138">
        <v>0.2</v>
      </c>
      <c r="D89" s="138">
        <v>4</v>
      </c>
      <c r="E89" s="144">
        <v>1</v>
      </c>
      <c r="F89" s="139">
        <v>15000</v>
      </c>
      <c r="G89" s="79" t="s">
        <v>479</v>
      </c>
      <c r="H89" s="145"/>
      <c r="I89" s="145"/>
      <c r="J89" s="145"/>
      <c r="K89" s="145"/>
      <c r="L89" s="145"/>
      <c r="M89" s="145"/>
      <c r="N89" s="145">
        <v>1</v>
      </c>
      <c r="O89" s="145"/>
      <c r="P89" s="145"/>
      <c r="Q89" s="145"/>
      <c r="R89" s="145"/>
      <c r="S89" s="146"/>
      <c r="T89" s="146"/>
    </row>
    <row r="90" spans="1:20" ht="12.75">
      <c r="A90" t="s">
        <v>480</v>
      </c>
      <c r="B90" s="138" t="s">
        <v>451</v>
      </c>
      <c r="C90" s="138">
        <v>0.2</v>
      </c>
      <c r="D90" s="138">
        <v>3</v>
      </c>
      <c r="E90" s="144">
        <v>1</v>
      </c>
      <c r="F90" s="139">
        <v>20000</v>
      </c>
      <c r="G90" s="79" t="s">
        <v>481</v>
      </c>
      <c r="H90" s="145"/>
      <c r="I90" s="145"/>
      <c r="J90" s="145"/>
      <c r="K90" s="145"/>
      <c r="L90" s="145"/>
      <c r="M90" s="145"/>
      <c r="N90" s="145"/>
      <c r="O90" s="145"/>
      <c r="P90" s="145"/>
      <c r="Q90" s="145"/>
      <c r="R90" s="145"/>
      <c r="S90" s="146"/>
      <c r="T90" s="146"/>
    </row>
    <row r="91" spans="1:20" ht="12.75">
      <c r="A91" t="s">
        <v>482</v>
      </c>
      <c r="B91" s="138" t="s">
        <v>451</v>
      </c>
      <c r="C91" s="138">
        <v>0.2</v>
      </c>
      <c r="D91" s="138">
        <v>3</v>
      </c>
      <c r="E91" s="144">
        <v>1</v>
      </c>
      <c r="F91" s="139">
        <v>15000</v>
      </c>
      <c r="G91" s="79" t="s">
        <v>483</v>
      </c>
      <c r="H91" s="145"/>
      <c r="I91" s="145"/>
      <c r="J91" s="145"/>
      <c r="K91" s="145"/>
      <c r="L91" s="145"/>
      <c r="M91" s="145"/>
      <c r="N91" s="145"/>
      <c r="O91" s="145"/>
      <c r="P91" s="145"/>
      <c r="Q91" s="145"/>
      <c r="R91" s="145"/>
      <c r="S91" s="146"/>
      <c r="T91" s="146"/>
    </row>
    <row r="92" spans="7:20" ht="12.75">
      <c r="G92" s="79"/>
      <c r="H92" s="145"/>
      <c r="I92" s="145"/>
      <c r="J92" s="145"/>
      <c r="K92" s="145"/>
      <c r="L92" s="145"/>
      <c r="M92" s="145"/>
      <c r="N92" s="145"/>
      <c r="O92" s="145"/>
      <c r="P92" s="145"/>
      <c r="Q92" s="145"/>
      <c r="R92" s="145"/>
      <c r="S92" s="146"/>
      <c r="T92" s="146"/>
    </row>
    <row r="93" spans="1:20" ht="12.75">
      <c r="A93" s="67" t="s">
        <v>484</v>
      </c>
      <c r="H93" s="145"/>
      <c r="I93" s="145"/>
      <c r="J93" s="145"/>
      <c r="K93" s="145"/>
      <c r="L93" s="145"/>
      <c r="M93" s="145"/>
      <c r="N93" s="145"/>
      <c r="O93" s="145"/>
      <c r="P93" s="145"/>
      <c r="Q93" s="145"/>
      <c r="R93" s="145"/>
      <c r="S93" s="146"/>
      <c r="T93" s="146"/>
    </row>
    <row r="94" spans="1:20" ht="12.75">
      <c r="A94" t="s">
        <v>485</v>
      </c>
      <c r="B94" s="138" t="s">
        <v>451</v>
      </c>
      <c r="C94" s="138">
        <v>0.2</v>
      </c>
      <c r="D94" s="138">
        <v>6</v>
      </c>
      <c r="E94" s="144">
        <v>1</v>
      </c>
      <c r="F94" s="139">
        <v>10000</v>
      </c>
      <c r="G94" s="79" t="s">
        <v>486</v>
      </c>
      <c r="H94" s="145"/>
      <c r="I94" s="145"/>
      <c r="J94" s="145"/>
      <c r="K94" s="145"/>
      <c r="L94" s="145"/>
      <c r="M94" s="145"/>
      <c r="N94" s="145"/>
      <c r="O94" s="145"/>
      <c r="P94" s="145">
        <v>1</v>
      </c>
      <c r="Q94" s="145"/>
      <c r="R94" s="145"/>
      <c r="S94" s="146"/>
      <c r="T94" s="146"/>
    </row>
    <row r="95" spans="1:20" ht="12.75">
      <c r="A95" t="s">
        <v>487</v>
      </c>
      <c r="B95" s="138" t="s">
        <v>451</v>
      </c>
      <c r="C95" s="138">
        <v>0.1</v>
      </c>
      <c r="D95" s="138">
        <v>3</v>
      </c>
      <c r="E95" s="144">
        <v>1</v>
      </c>
      <c r="F95" s="139">
        <v>15000</v>
      </c>
      <c r="G95" s="79" t="s">
        <v>488</v>
      </c>
      <c r="H95" s="145"/>
      <c r="I95" s="145"/>
      <c r="J95" s="145"/>
      <c r="K95" s="145"/>
      <c r="L95" s="145"/>
      <c r="M95" s="145"/>
      <c r="N95" s="145"/>
      <c r="O95" s="145"/>
      <c r="P95" s="145"/>
      <c r="Q95" s="145"/>
      <c r="R95" s="145"/>
      <c r="S95" s="146"/>
      <c r="T95" s="146"/>
    </row>
    <row r="96" spans="1:20" ht="12.75">
      <c r="A96" t="s">
        <v>489</v>
      </c>
      <c r="B96" s="138" t="s">
        <v>451</v>
      </c>
      <c r="C96" s="138">
        <v>0.1</v>
      </c>
      <c r="D96" s="138">
        <v>5</v>
      </c>
      <c r="E96" s="144">
        <v>1</v>
      </c>
      <c r="F96" s="139">
        <v>7500</v>
      </c>
      <c r="G96" s="79" t="s">
        <v>490</v>
      </c>
      <c r="H96" s="145"/>
      <c r="I96" s="145"/>
      <c r="J96" s="145"/>
      <c r="K96" s="145"/>
      <c r="L96" s="145"/>
      <c r="M96" s="145"/>
      <c r="N96" s="145"/>
      <c r="O96" s="145"/>
      <c r="P96" s="145"/>
      <c r="Q96" s="145"/>
      <c r="R96" s="145"/>
      <c r="S96" s="146"/>
      <c r="T96" s="146"/>
    </row>
    <row r="97" spans="1:20" ht="12.75">
      <c r="A97" t="s">
        <v>491</v>
      </c>
      <c r="B97" s="138" t="s">
        <v>451</v>
      </c>
      <c r="C97" s="138">
        <v>0.3</v>
      </c>
      <c r="D97" s="138">
        <v>18</v>
      </c>
      <c r="F97" s="139">
        <v>40000</v>
      </c>
      <c r="G97" t="s">
        <v>492</v>
      </c>
      <c r="H97" s="145"/>
      <c r="I97" s="145"/>
      <c r="J97" s="145"/>
      <c r="K97" s="145"/>
      <c r="L97" s="145"/>
      <c r="M97" s="145"/>
      <c r="N97" s="145"/>
      <c r="O97" s="145"/>
      <c r="P97" s="145"/>
      <c r="Q97" s="145"/>
      <c r="R97" s="145"/>
      <c r="S97" s="146"/>
      <c r="T97" s="146"/>
    </row>
    <row r="98" spans="1:20" ht="12.75">
      <c r="A98" t="s">
        <v>493</v>
      </c>
      <c r="B98" s="138" t="s">
        <v>451</v>
      </c>
      <c r="C98" s="138">
        <v>0.2</v>
      </c>
      <c r="D98" s="138">
        <v>12</v>
      </c>
      <c r="F98" s="139">
        <v>25000</v>
      </c>
      <c r="G98" s="79" t="s">
        <v>494</v>
      </c>
      <c r="H98" s="145"/>
      <c r="I98" s="145"/>
      <c r="J98" s="145"/>
      <c r="K98" s="145"/>
      <c r="L98" s="145"/>
      <c r="M98" s="145"/>
      <c r="N98" s="145"/>
      <c r="O98" s="145"/>
      <c r="P98" s="145"/>
      <c r="Q98" s="145"/>
      <c r="R98" s="145"/>
      <c r="S98" s="146"/>
      <c r="T98" s="146"/>
    </row>
    <row r="99" spans="1:20" ht="12.75">
      <c r="A99" t="s">
        <v>495</v>
      </c>
      <c r="B99" s="138" t="s">
        <v>451</v>
      </c>
      <c r="C99" s="138">
        <v>0.1</v>
      </c>
      <c r="D99" s="138">
        <v>10</v>
      </c>
      <c r="F99" s="139">
        <v>10000</v>
      </c>
      <c r="G99" s="79" t="s">
        <v>496</v>
      </c>
      <c r="H99" s="145"/>
      <c r="I99" s="145"/>
      <c r="J99" s="145"/>
      <c r="K99" s="145"/>
      <c r="L99" s="145"/>
      <c r="M99" s="145"/>
      <c r="N99" s="145"/>
      <c r="O99" s="145"/>
      <c r="P99" s="145"/>
      <c r="Q99" s="145"/>
      <c r="R99" s="145"/>
      <c r="S99" s="146"/>
      <c r="T99" s="146"/>
    </row>
    <row r="100" spans="1:20" ht="12.75">
      <c r="A100" t="s">
        <v>497</v>
      </c>
      <c r="B100" s="138" t="s">
        <v>451</v>
      </c>
      <c r="C100" s="138">
        <v>0.15</v>
      </c>
      <c r="D100" s="138">
        <v>8</v>
      </c>
      <c r="F100" s="139">
        <v>10000</v>
      </c>
      <c r="G100" s="79" t="s">
        <v>498</v>
      </c>
      <c r="H100" s="145"/>
      <c r="I100" s="145"/>
      <c r="J100" s="145"/>
      <c r="K100" s="145"/>
      <c r="L100" s="145"/>
      <c r="M100" s="145"/>
      <c r="N100" s="145"/>
      <c r="O100" s="145"/>
      <c r="P100" s="145"/>
      <c r="Q100" s="145"/>
      <c r="R100" s="145"/>
      <c r="S100" s="146"/>
      <c r="T100" s="146"/>
    </row>
    <row r="101" spans="1:20" ht="12.75">
      <c r="A101" t="s">
        <v>499</v>
      </c>
      <c r="B101" s="138" t="s">
        <v>451</v>
      </c>
      <c r="C101" s="138">
        <v>0.5</v>
      </c>
      <c r="D101" s="138">
        <v>6</v>
      </c>
      <c r="E101" s="144">
        <v>1</v>
      </c>
      <c r="F101" s="139">
        <v>80000</v>
      </c>
      <c r="G101" s="79" t="s">
        <v>500</v>
      </c>
      <c r="H101" s="145"/>
      <c r="I101" s="145"/>
      <c r="J101" s="145"/>
      <c r="K101" s="145"/>
      <c r="L101" s="145">
        <v>1</v>
      </c>
      <c r="M101" s="145"/>
      <c r="N101" s="145"/>
      <c r="O101" s="145"/>
      <c r="P101" s="145"/>
      <c r="Q101" s="145"/>
      <c r="R101" s="145">
        <v>1</v>
      </c>
      <c r="S101" s="146"/>
      <c r="T101" s="146"/>
    </row>
    <row r="102" spans="5:20" ht="12.75">
      <c r="E102" s="144"/>
      <c r="G102" s="79"/>
      <c r="H102" s="145"/>
      <c r="I102" s="145"/>
      <c r="J102" s="145"/>
      <c r="K102" s="145"/>
      <c r="L102" s="145"/>
      <c r="M102" s="145"/>
      <c r="N102" s="145"/>
      <c r="O102" s="145"/>
      <c r="P102" s="145"/>
      <c r="Q102" s="145"/>
      <c r="R102" s="145"/>
      <c r="S102" s="146"/>
      <c r="T102" s="146"/>
    </row>
    <row r="103" spans="1:20" ht="12.75">
      <c r="A103" s="67" t="s">
        <v>501</v>
      </c>
      <c r="H103" s="145"/>
      <c r="I103" s="145"/>
      <c r="J103" s="145"/>
      <c r="K103" s="145"/>
      <c r="L103" s="145"/>
      <c r="M103" s="145"/>
      <c r="N103" s="145"/>
      <c r="O103" s="145"/>
      <c r="P103" s="145"/>
      <c r="Q103" s="145"/>
      <c r="R103" s="145"/>
      <c r="S103" s="146"/>
      <c r="T103" s="146"/>
    </row>
    <row r="104" spans="1:20" ht="12.75">
      <c r="A104" s="67" t="s">
        <v>502</v>
      </c>
      <c r="B104" s="147" t="s">
        <v>503</v>
      </c>
      <c r="C104" s="147" t="s">
        <v>49</v>
      </c>
      <c r="D104" s="147" t="s">
        <v>133</v>
      </c>
      <c r="E104" s="147"/>
      <c r="F104" s="142" t="s">
        <v>328</v>
      </c>
      <c r="H104" s="145"/>
      <c r="I104" s="145"/>
      <c r="J104" s="145"/>
      <c r="K104" s="145"/>
      <c r="L104" s="145"/>
      <c r="M104" s="145"/>
      <c r="N104" s="145"/>
      <c r="O104" s="145"/>
      <c r="P104" s="145"/>
      <c r="Q104" s="145"/>
      <c r="R104" s="145"/>
      <c r="S104" s="146"/>
      <c r="T104" s="146"/>
    </row>
    <row r="105" spans="1:20" ht="12.75">
      <c r="A105" t="s">
        <v>504</v>
      </c>
      <c r="B105" s="138">
        <v>15</v>
      </c>
      <c r="C105" s="138">
        <v>1</v>
      </c>
      <c r="D105" s="138">
        <v>4</v>
      </c>
      <c r="F105" s="139">
        <v>15000</v>
      </c>
      <c r="H105" s="145"/>
      <c r="I105" s="145"/>
      <c r="J105" s="145"/>
      <c r="K105" s="145"/>
      <c r="L105" s="145"/>
      <c r="M105" s="145"/>
      <c r="N105" s="145"/>
      <c r="O105" s="145"/>
      <c r="P105" s="145"/>
      <c r="Q105" s="145"/>
      <c r="R105" s="145"/>
      <c r="S105" s="146"/>
      <c r="T105" s="146"/>
    </row>
    <row r="106" spans="1:20" ht="12.75">
      <c r="A106" t="s">
        <v>505</v>
      </c>
      <c r="B106" s="138">
        <v>10</v>
      </c>
      <c r="C106" s="138">
        <v>0.45</v>
      </c>
      <c r="D106" s="138">
        <v>4</v>
      </c>
      <c r="F106" s="139">
        <v>10000</v>
      </c>
      <c r="H106" s="145"/>
      <c r="I106" s="145"/>
      <c r="J106" s="145"/>
      <c r="K106" s="145"/>
      <c r="L106" s="145"/>
      <c r="M106" s="145"/>
      <c r="N106" s="145"/>
      <c r="O106" s="145"/>
      <c r="P106" s="145"/>
      <c r="Q106" s="145"/>
      <c r="R106" s="145"/>
      <c r="S106" s="146"/>
      <c r="T106" s="146"/>
    </row>
    <row r="107" spans="1:20" ht="12.75">
      <c r="A107" t="s">
        <v>506</v>
      </c>
      <c r="B107" s="138">
        <v>4</v>
      </c>
      <c r="C107" s="138">
        <v>0.25</v>
      </c>
      <c r="D107" s="138">
        <v>2</v>
      </c>
      <c r="F107" s="139">
        <v>5000</v>
      </c>
      <c r="H107" s="145"/>
      <c r="I107" s="145"/>
      <c r="J107" s="145"/>
      <c r="K107" s="145"/>
      <c r="L107" s="145"/>
      <c r="M107" s="145"/>
      <c r="N107" s="145"/>
      <c r="O107" s="145"/>
      <c r="P107" s="145"/>
      <c r="Q107" s="145"/>
      <c r="R107" s="145"/>
      <c r="S107" s="146"/>
      <c r="T107" s="146"/>
    </row>
    <row r="108" spans="1:20" ht="12.75">
      <c r="A108" t="s">
        <v>507</v>
      </c>
      <c r="B108" s="138">
        <v>8</v>
      </c>
      <c r="C108" s="138">
        <v>1</v>
      </c>
      <c r="D108" s="138">
        <v>4</v>
      </c>
      <c r="F108" s="139">
        <v>20000</v>
      </c>
      <c r="H108" s="145"/>
      <c r="I108" s="145"/>
      <c r="J108" s="145"/>
      <c r="K108" s="145"/>
      <c r="L108" s="145"/>
      <c r="M108" s="145"/>
      <c r="N108" s="145"/>
      <c r="O108" s="145"/>
      <c r="P108" s="145"/>
      <c r="Q108" s="145"/>
      <c r="R108" s="145"/>
      <c r="S108" s="146"/>
      <c r="T108" s="146"/>
    </row>
    <row r="109" spans="1:20" ht="12.75">
      <c r="A109" t="s">
        <v>508</v>
      </c>
      <c r="B109" s="138">
        <v>5</v>
      </c>
      <c r="C109" s="138">
        <v>0.45</v>
      </c>
      <c r="D109" s="138">
        <v>4</v>
      </c>
      <c r="F109" s="139">
        <v>12000</v>
      </c>
      <c r="H109" s="145"/>
      <c r="I109" s="145"/>
      <c r="J109" s="145"/>
      <c r="K109" s="145"/>
      <c r="L109" s="145"/>
      <c r="M109" s="145"/>
      <c r="N109" s="145"/>
      <c r="O109" s="145"/>
      <c r="P109" s="145"/>
      <c r="Q109" s="145"/>
      <c r="R109" s="145"/>
      <c r="S109" s="146"/>
      <c r="T109" s="146"/>
    </row>
    <row r="110" spans="1:20" ht="12.75">
      <c r="A110" t="s">
        <v>509</v>
      </c>
      <c r="B110" s="138">
        <v>2</v>
      </c>
      <c r="C110" s="138">
        <v>0.25</v>
      </c>
      <c r="D110" s="138">
        <v>2</v>
      </c>
      <c r="F110" s="139">
        <v>6000</v>
      </c>
      <c r="H110" s="145"/>
      <c r="I110" s="145"/>
      <c r="J110" s="145"/>
      <c r="K110" s="145"/>
      <c r="L110" s="145"/>
      <c r="M110" s="145"/>
      <c r="N110" s="145"/>
      <c r="O110" s="145"/>
      <c r="P110" s="145"/>
      <c r="Q110" s="145"/>
      <c r="R110" s="145"/>
      <c r="S110" s="146"/>
      <c r="T110" s="146"/>
    </row>
    <row r="111" spans="1:20" ht="12.75">
      <c r="A111" t="s">
        <v>510</v>
      </c>
      <c r="B111" s="138">
        <v>20</v>
      </c>
      <c r="C111" s="138">
        <v>1</v>
      </c>
      <c r="D111" s="138">
        <v>4</v>
      </c>
      <c r="F111" s="139">
        <v>15000</v>
      </c>
      <c r="H111" s="145"/>
      <c r="I111" s="145"/>
      <c r="J111" s="145"/>
      <c r="K111" s="145"/>
      <c r="L111" s="145"/>
      <c r="M111" s="145"/>
      <c r="N111" s="145"/>
      <c r="O111" s="145"/>
      <c r="P111" s="145"/>
      <c r="Q111" s="145"/>
      <c r="R111" s="145"/>
      <c r="S111" s="146"/>
      <c r="T111" s="146"/>
    </row>
    <row r="112" spans="1:20" ht="12.75">
      <c r="A112" t="s">
        <v>511</v>
      </c>
      <c r="B112" s="138">
        <v>12</v>
      </c>
      <c r="C112" s="138">
        <v>0.45</v>
      </c>
      <c r="D112" s="138">
        <v>4</v>
      </c>
      <c r="F112" s="139">
        <v>10000</v>
      </c>
      <c r="H112" s="145"/>
      <c r="I112" s="145"/>
      <c r="J112" s="145"/>
      <c r="K112" s="145"/>
      <c r="L112" s="145"/>
      <c r="M112" s="145"/>
      <c r="N112" s="145"/>
      <c r="O112" s="145"/>
      <c r="P112" s="145"/>
      <c r="Q112" s="145"/>
      <c r="R112" s="145"/>
      <c r="S112" s="146"/>
      <c r="T112" s="146"/>
    </row>
    <row r="113" spans="1:20" ht="12.75">
      <c r="A113" t="s">
        <v>512</v>
      </c>
      <c r="B113" s="138">
        <v>4</v>
      </c>
      <c r="C113" s="138">
        <v>0.25</v>
      </c>
      <c r="D113" s="138">
        <v>2</v>
      </c>
      <c r="F113" s="139">
        <v>5000</v>
      </c>
      <c r="H113" s="145"/>
      <c r="I113" s="145"/>
      <c r="J113" s="145"/>
      <c r="K113" s="145"/>
      <c r="L113" s="145"/>
      <c r="M113" s="145"/>
      <c r="N113" s="145"/>
      <c r="O113" s="145"/>
      <c r="P113" s="145"/>
      <c r="Q113" s="145"/>
      <c r="R113" s="145"/>
      <c r="S113" s="146"/>
      <c r="T113" s="146"/>
    </row>
    <row r="114" spans="1:20" ht="12.75">
      <c r="A114" t="s">
        <v>513</v>
      </c>
      <c r="B114" s="138">
        <v>10</v>
      </c>
      <c r="C114" s="138">
        <v>1</v>
      </c>
      <c r="D114" s="138">
        <v>4</v>
      </c>
      <c r="F114" s="139">
        <v>20000</v>
      </c>
      <c r="H114" s="145"/>
      <c r="I114" s="145"/>
      <c r="J114" s="145"/>
      <c r="K114" s="145"/>
      <c r="L114" s="145"/>
      <c r="M114" s="145"/>
      <c r="N114" s="145"/>
      <c r="O114" s="145"/>
      <c r="P114" s="145"/>
      <c r="Q114" s="145"/>
      <c r="R114" s="145"/>
      <c r="S114" s="146"/>
      <c r="T114" s="146"/>
    </row>
    <row r="115" spans="1:20" ht="12.75">
      <c r="A115" t="s">
        <v>514</v>
      </c>
      <c r="B115" s="138">
        <v>6</v>
      </c>
      <c r="C115" s="138">
        <v>0.45</v>
      </c>
      <c r="D115" s="138">
        <v>4</v>
      </c>
      <c r="F115" s="139">
        <v>12000</v>
      </c>
      <c r="H115" s="145"/>
      <c r="I115" s="145"/>
      <c r="J115" s="145"/>
      <c r="K115" s="145"/>
      <c r="L115" s="145"/>
      <c r="M115" s="145"/>
      <c r="N115" s="145"/>
      <c r="O115" s="145"/>
      <c r="P115" s="145"/>
      <c r="Q115" s="145"/>
      <c r="R115" s="145"/>
      <c r="S115" s="146"/>
      <c r="T115" s="146"/>
    </row>
    <row r="116" spans="1:20" ht="12.75">
      <c r="A116" t="s">
        <v>515</v>
      </c>
      <c r="B116" s="138">
        <v>2</v>
      </c>
      <c r="C116" s="138">
        <v>0.25</v>
      </c>
      <c r="D116" s="138">
        <v>2</v>
      </c>
      <c r="F116" s="139">
        <v>6000</v>
      </c>
      <c r="H116" s="145"/>
      <c r="I116" s="145"/>
      <c r="J116" s="145"/>
      <c r="K116" s="145"/>
      <c r="L116" s="145"/>
      <c r="M116" s="145"/>
      <c r="N116" s="145"/>
      <c r="O116" s="145"/>
      <c r="P116" s="145"/>
      <c r="Q116" s="145"/>
      <c r="R116" s="145"/>
      <c r="S116" s="146"/>
      <c r="T116" s="146"/>
    </row>
    <row r="117" spans="1:20" ht="12.75">
      <c r="A117" t="s">
        <v>516</v>
      </c>
      <c r="B117" s="138">
        <v>10</v>
      </c>
      <c r="C117" s="138">
        <v>1.5</v>
      </c>
      <c r="D117" s="138">
        <v>12</v>
      </c>
      <c r="F117" s="139">
        <v>20000</v>
      </c>
      <c r="H117" s="145"/>
      <c r="I117" s="145"/>
      <c r="J117" s="145"/>
      <c r="K117" s="145"/>
      <c r="L117" s="145"/>
      <c r="M117" s="145"/>
      <c r="N117" s="145"/>
      <c r="O117" s="145"/>
      <c r="P117" s="145"/>
      <c r="Q117" s="145"/>
      <c r="R117" s="145"/>
      <c r="S117" s="146"/>
      <c r="T117" s="146"/>
    </row>
    <row r="118" spans="1:20" ht="12.75">
      <c r="A118" t="s">
        <v>517</v>
      </c>
      <c r="B118" s="138">
        <v>5</v>
      </c>
      <c r="C118" s="138">
        <v>1.5</v>
      </c>
      <c r="D118" s="138">
        <v>12</v>
      </c>
      <c r="F118" s="139">
        <v>25000</v>
      </c>
      <c r="H118" s="145"/>
      <c r="I118" s="145"/>
      <c r="J118" s="145"/>
      <c r="K118" s="145"/>
      <c r="L118" s="145"/>
      <c r="M118" s="145"/>
      <c r="N118" s="145"/>
      <c r="O118" s="145"/>
      <c r="P118" s="145"/>
      <c r="Q118" s="145"/>
      <c r="R118" s="145"/>
      <c r="S118" s="146"/>
      <c r="T118" s="146"/>
    </row>
    <row r="119" spans="1:20" ht="12.75">
      <c r="A119" t="s">
        <v>518</v>
      </c>
      <c r="B119" s="138">
        <v>4</v>
      </c>
      <c r="C119" s="138">
        <v>0.75</v>
      </c>
      <c r="D119" s="138">
        <v>6</v>
      </c>
      <c r="F119" s="139">
        <v>10000</v>
      </c>
      <c r="H119" s="145"/>
      <c r="I119" s="145"/>
      <c r="J119" s="145"/>
      <c r="K119" s="145"/>
      <c r="L119" s="145"/>
      <c r="M119" s="145"/>
      <c r="N119" s="145"/>
      <c r="O119" s="145"/>
      <c r="P119" s="145"/>
      <c r="Q119" s="145"/>
      <c r="R119" s="145"/>
      <c r="S119" s="146"/>
      <c r="T119" s="146"/>
    </row>
    <row r="120" spans="1:20" ht="12.75">
      <c r="A120" t="s">
        <v>519</v>
      </c>
      <c r="B120" s="138">
        <v>2</v>
      </c>
      <c r="C120" s="138">
        <v>0.75</v>
      </c>
      <c r="D120" s="138">
        <v>16</v>
      </c>
      <c r="F120" s="139">
        <v>15000</v>
      </c>
      <c r="H120" s="145"/>
      <c r="I120" s="145"/>
      <c r="J120" s="145"/>
      <c r="K120" s="145"/>
      <c r="L120" s="145"/>
      <c r="M120" s="145"/>
      <c r="N120" s="145"/>
      <c r="O120" s="145"/>
      <c r="P120" s="145"/>
      <c r="Q120" s="145"/>
      <c r="R120" s="145"/>
      <c r="S120" s="146"/>
      <c r="T120" s="146"/>
    </row>
    <row r="121" spans="8:20" ht="12.75">
      <c r="H121" s="145"/>
      <c r="I121" s="145"/>
      <c r="J121" s="145"/>
      <c r="K121" s="145"/>
      <c r="L121" s="145"/>
      <c r="M121" s="145"/>
      <c r="N121" s="145"/>
      <c r="O121" s="145"/>
      <c r="P121" s="145"/>
      <c r="Q121" s="145"/>
      <c r="R121" s="145"/>
      <c r="S121" s="146"/>
      <c r="T121" s="146"/>
    </row>
    <row r="122" spans="1:20" ht="12.75">
      <c r="A122" s="67" t="s">
        <v>520</v>
      </c>
      <c r="H122" s="145"/>
      <c r="I122" s="145"/>
      <c r="J122" s="145"/>
      <c r="K122" s="145"/>
      <c r="L122" s="145"/>
      <c r="M122" s="145"/>
      <c r="N122" s="145"/>
      <c r="O122" s="145"/>
      <c r="P122" s="145"/>
      <c r="Q122" s="145"/>
      <c r="R122" s="145"/>
      <c r="S122" s="146"/>
      <c r="T122" s="146"/>
    </row>
    <row r="123" spans="1:20" ht="12.75">
      <c r="A123" t="s">
        <v>521</v>
      </c>
      <c r="B123" s="138">
        <v>4</v>
      </c>
      <c r="C123" s="138">
        <v>0.2</v>
      </c>
      <c r="D123" s="138">
        <v>0</v>
      </c>
      <c r="F123" s="139">
        <v>500</v>
      </c>
      <c r="G123" t="s">
        <v>522</v>
      </c>
      <c r="H123" s="145"/>
      <c r="I123" s="145"/>
      <c r="J123" s="145"/>
      <c r="K123" s="145"/>
      <c r="L123" s="145"/>
      <c r="M123" s="145"/>
      <c r="N123" s="145"/>
      <c r="O123" s="145"/>
      <c r="P123" s="145"/>
      <c r="Q123" s="145"/>
      <c r="R123" s="145"/>
      <c r="S123" s="146"/>
      <c r="T123" s="146"/>
    </row>
    <row r="124" spans="1:20" ht="12.75">
      <c r="A124" t="s">
        <v>523</v>
      </c>
      <c r="B124" s="138">
        <v>8</v>
      </c>
      <c r="C124" s="138">
        <v>0.3</v>
      </c>
      <c r="D124" s="138">
        <v>4</v>
      </c>
      <c r="F124" s="139">
        <v>750</v>
      </c>
      <c r="G124" t="s">
        <v>522</v>
      </c>
      <c r="H124" s="145"/>
      <c r="I124" s="145"/>
      <c r="J124" s="145"/>
      <c r="K124" s="145"/>
      <c r="L124" s="145"/>
      <c r="M124" s="145"/>
      <c r="N124" s="145"/>
      <c r="O124" s="145"/>
      <c r="P124" s="145"/>
      <c r="Q124" s="145"/>
      <c r="R124" s="145"/>
      <c r="S124" s="146"/>
      <c r="T124" s="146"/>
    </row>
    <row r="125" spans="1:20" ht="12.75">
      <c r="A125" t="s">
        <v>524</v>
      </c>
      <c r="B125" s="138">
        <v>12</v>
      </c>
      <c r="C125" s="138">
        <v>0.4</v>
      </c>
      <c r="D125" s="138">
        <v>6</v>
      </c>
      <c r="F125" s="139">
        <v>1000</v>
      </c>
      <c r="G125" t="s">
        <v>522</v>
      </c>
      <c r="H125" s="145"/>
      <c r="I125" s="145"/>
      <c r="J125" s="145"/>
      <c r="K125" s="145"/>
      <c r="L125" s="145"/>
      <c r="M125" s="145"/>
      <c r="N125" s="145"/>
      <c r="O125" s="145"/>
      <c r="P125" s="145"/>
      <c r="Q125" s="145"/>
      <c r="R125" s="145"/>
      <c r="S125" s="146"/>
      <c r="T125" s="146"/>
    </row>
    <row r="126" spans="1:20" ht="12.75">
      <c r="A126" t="s">
        <v>525</v>
      </c>
      <c r="B126" s="138">
        <v>16</v>
      </c>
      <c r="C126" s="138">
        <v>0.5</v>
      </c>
      <c r="D126" s="138">
        <v>8</v>
      </c>
      <c r="F126" s="139">
        <v>1500</v>
      </c>
      <c r="G126" t="s">
        <v>522</v>
      </c>
      <c r="H126" s="145"/>
      <c r="I126" s="145"/>
      <c r="J126" s="145"/>
      <c r="K126" s="145"/>
      <c r="L126" s="145"/>
      <c r="M126" s="145"/>
      <c r="N126" s="145"/>
      <c r="O126" s="145"/>
      <c r="P126" s="145"/>
      <c r="Q126" s="145"/>
      <c r="R126" s="145"/>
      <c r="S126" s="146"/>
      <c r="T126" s="146"/>
    </row>
    <row r="127" spans="8:20" ht="12.75">
      <c r="H127" s="145"/>
      <c r="I127" s="145"/>
      <c r="J127" s="145"/>
      <c r="K127" s="145"/>
      <c r="L127" s="145"/>
      <c r="M127" s="145"/>
      <c r="N127" s="145"/>
      <c r="O127" s="145"/>
      <c r="P127" s="145"/>
      <c r="Q127" s="145"/>
      <c r="R127" s="145"/>
      <c r="S127" s="146"/>
      <c r="T127" s="146"/>
    </row>
    <row r="128" spans="1:20" ht="12.75">
      <c r="A128" s="67" t="s">
        <v>526</v>
      </c>
      <c r="H128" s="145"/>
      <c r="I128" s="145"/>
      <c r="J128" s="145"/>
      <c r="K128" s="145"/>
      <c r="L128" s="145"/>
      <c r="M128" s="145"/>
      <c r="N128" s="145"/>
      <c r="O128" s="145"/>
      <c r="P128" s="145"/>
      <c r="Q128" s="145"/>
      <c r="R128" s="145"/>
      <c r="S128" s="146"/>
      <c r="T128" s="146"/>
    </row>
    <row r="129" spans="1:20" ht="12.75">
      <c r="A129" t="s">
        <v>527</v>
      </c>
      <c r="B129" s="138">
        <v>4</v>
      </c>
      <c r="C129" s="138">
        <v>0.2</v>
      </c>
      <c r="D129" s="138">
        <v>0</v>
      </c>
      <c r="F129" s="139">
        <v>500</v>
      </c>
      <c r="G129" t="s">
        <v>528</v>
      </c>
      <c r="H129" s="145"/>
      <c r="I129" s="145"/>
      <c r="J129" s="145"/>
      <c r="K129" s="145"/>
      <c r="L129" s="145"/>
      <c r="M129" s="145"/>
      <c r="N129" s="145"/>
      <c r="O129" s="145"/>
      <c r="P129" s="145"/>
      <c r="Q129" s="145"/>
      <c r="R129" s="145"/>
      <c r="S129" s="146"/>
      <c r="T129" s="146"/>
    </row>
    <row r="130" spans="1:20" ht="12.75">
      <c r="A130" t="s">
        <v>529</v>
      </c>
      <c r="B130" s="138">
        <v>8</v>
      </c>
      <c r="C130" s="138">
        <v>0.3</v>
      </c>
      <c r="D130" s="138">
        <v>4</v>
      </c>
      <c r="F130" s="139">
        <v>750</v>
      </c>
      <c r="G130" t="s">
        <v>528</v>
      </c>
      <c r="H130" s="145"/>
      <c r="I130" s="145"/>
      <c r="J130" s="145"/>
      <c r="K130" s="145"/>
      <c r="L130" s="145"/>
      <c r="M130" s="145"/>
      <c r="N130" s="145"/>
      <c r="O130" s="145"/>
      <c r="P130" s="145"/>
      <c r="Q130" s="145"/>
      <c r="R130" s="145"/>
      <c r="S130" s="146"/>
      <c r="T130" s="146"/>
    </row>
    <row r="131" spans="1:20" ht="12.75">
      <c r="A131" t="s">
        <v>530</v>
      </c>
      <c r="B131" s="138">
        <v>12</v>
      </c>
      <c r="C131" s="138">
        <v>0.4</v>
      </c>
      <c r="D131" s="138">
        <v>6</v>
      </c>
      <c r="F131" s="139">
        <v>1000</v>
      </c>
      <c r="G131" t="s">
        <v>528</v>
      </c>
      <c r="H131" s="145"/>
      <c r="I131" s="145"/>
      <c r="J131" s="145"/>
      <c r="K131" s="145"/>
      <c r="L131" s="145"/>
      <c r="M131" s="145"/>
      <c r="N131" s="145"/>
      <c r="O131" s="145"/>
      <c r="P131" s="145"/>
      <c r="Q131" s="145"/>
      <c r="R131" s="145"/>
      <c r="S131" s="146"/>
      <c r="T131" s="146"/>
    </row>
    <row r="132" spans="1:20" ht="12.75">
      <c r="A132" t="s">
        <v>531</v>
      </c>
      <c r="B132" s="138">
        <v>16</v>
      </c>
      <c r="C132" s="138">
        <v>0.5</v>
      </c>
      <c r="D132" s="138">
        <v>8</v>
      </c>
      <c r="F132" s="139">
        <v>1500</v>
      </c>
      <c r="G132" t="s">
        <v>528</v>
      </c>
      <c r="H132" s="145"/>
      <c r="I132" s="145"/>
      <c r="J132" s="145"/>
      <c r="K132" s="145"/>
      <c r="L132" s="145"/>
      <c r="M132" s="145"/>
      <c r="N132" s="145"/>
      <c r="O132" s="145"/>
      <c r="P132" s="145"/>
      <c r="Q132" s="145"/>
      <c r="R132" s="145"/>
      <c r="S132" s="146"/>
      <c r="T132" s="146"/>
    </row>
    <row r="133" spans="8:20" ht="12.75">
      <c r="H133" s="145"/>
      <c r="I133" s="145"/>
      <c r="J133" s="145"/>
      <c r="K133" s="145"/>
      <c r="L133" s="145"/>
      <c r="M133" s="145"/>
      <c r="N133" s="145"/>
      <c r="O133" s="145"/>
      <c r="P133" s="145"/>
      <c r="Q133" s="145"/>
      <c r="R133" s="145"/>
      <c r="S133" s="146"/>
      <c r="T133" s="146"/>
    </row>
    <row r="134" spans="1:20" ht="12.75">
      <c r="A134" s="67" t="s">
        <v>532</v>
      </c>
      <c r="H134" s="145"/>
      <c r="I134" s="145"/>
      <c r="J134" s="145"/>
      <c r="K134" s="145"/>
      <c r="L134" s="145"/>
      <c r="M134" s="145"/>
      <c r="N134" s="145"/>
      <c r="O134" s="145"/>
      <c r="P134" s="145"/>
      <c r="Q134" s="145"/>
      <c r="R134" s="145"/>
      <c r="S134" s="146"/>
      <c r="T134" s="146"/>
    </row>
    <row r="135" spans="1:20" ht="12.75">
      <c r="A135" s="67" t="s">
        <v>533</v>
      </c>
      <c r="B135" s="147" t="s">
        <v>503</v>
      </c>
      <c r="C135" s="147" t="s">
        <v>49</v>
      </c>
      <c r="D135" s="147" t="s">
        <v>133</v>
      </c>
      <c r="E135" s="147"/>
      <c r="F135" s="142" t="s">
        <v>328</v>
      </c>
      <c r="H135" s="145"/>
      <c r="I135" s="145"/>
      <c r="J135" s="145"/>
      <c r="K135" s="145"/>
      <c r="L135" s="145"/>
      <c r="M135" s="145"/>
      <c r="N135" s="145"/>
      <c r="O135" s="145"/>
      <c r="P135" s="145"/>
      <c r="Q135" s="145"/>
      <c r="R135" s="145"/>
      <c r="S135" s="146"/>
      <c r="T135" s="146"/>
    </row>
    <row r="136" spans="1:20" ht="12.75">
      <c r="A136" t="s">
        <v>534</v>
      </c>
      <c r="B136" s="138">
        <v>4</v>
      </c>
      <c r="C136" s="138">
        <v>0</v>
      </c>
      <c r="D136" s="138">
        <v>12</v>
      </c>
      <c r="F136" s="139">
        <v>6000</v>
      </c>
      <c r="H136" s="145"/>
      <c r="I136" s="145"/>
      <c r="J136" s="145"/>
      <c r="K136" s="145"/>
      <c r="L136" s="145"/>
      <c r="M136" s="145"/>
      <c r="N136" s="145"/>
      <c r="O136" s="145"/>
      <c r="P136" s="145"/>
      <c r="Q136" s="145"/>
      <c r="R136" s="145"/>
      <c r="S136" s="146"/>
      <c r="T136" s="146"/>
    </row>
    <row r="137" spans="1:20" ht="12.75">
      <c r="A137" t="s">
        <v>535</v>
      </c>
      <c r="B137" s="138">
        <v>8</v>
      </c>
      <c r="C137" s="138">
        <v>0</v>
      </c>
      <c r="D137" s="138">
        <v>12</v>
      </c>
      <c r="F137" s="139">
        <v>3000</v>
      </c>
      <c r="H137" s="145"/>
      <c r="I137" s="145"/>
      <c r="J137" s="145"/>
      <c r="K137" s="145"/>
      <c r="L137" s="145"/>
      <c r="M137" s="145"/>
      <c r="N137" s="145"/>
      <c r="O137" s="145"/>
      <c r="P137" s="145"/>
      <c r="Q137" s="145"/>
      <c r="R137" s="145"/>
      <c r="S137" s="146"/>
      <c r="T137" s="146"/>
    </row>
    <row r="138" spans="1:20" ht="12.75">
      <c r="A138" t="s">
        <v>536</v>
      </c>
      <c r="B138" s="138">
        <v>7</v>
      </c>
      <c r="C138" s="138">
        <v>0</v>
      </c>
      <c r="D138" s="138">
        <v>8</v>
      </c>
      <c r="F138" s="139">
        <v>2000</v>
      </c>
      <c r="H138" s="145"/>
      <c r="I138" s="145"/>
      <c r="J138" s="145"/>
      <c r="K138" s="145"/>
      <c r="L138" s="145"/>
      <c r="M138" s="145"/>
      <c r="N138" s="145"/>
      <c r="O138" s="145"/>
      <c r="P138" s="145"/>
      <c r="Q138" s="145"/>
      <c r="R138" s="145"/>
      <c r="S138" s="146"/>
      <c r="T138" s="146"/>
    </row>
    <row r="139" spans="1:20" ht="12.75">
      <c r="A139" t="s">
        <v>537</v>
      </c>
      <c r="B139" s="138">
        <v>1</v>
      </c>
      <c r="C139" s="138">
        <v>0</v>
      </c>
      <c r="D139" s="138">
        <v>9</v>
      </c>
      <c r="E139" s="144" t="s">
        <v>390</v>
      </c>
      <c r="F139" s="139">
        <v>2000</v>
      </c>
      <c r="H139" s="145"/>
      <c r="I139" s="145"/>
      <c r="J139" s="145"/>
      <c r="K139" s="145"/>
      <c r="L139" s="145"/>
      <c r="M139" s="145"/>
      <c r="N139" s="145"/>
      <c r="O139" s="145"/>
      <c r="P139" s="145"/>
      <c r="Q139" s="145"/>
      <c r="R139" s="145"/>
      <c r="S139" s="146"/>
      <c r="T139" s="146"/>
    </row>
    <row r="140" spans="1:20" ht="12.75">
      <c r="A140" t="s">
        <v>538</v>
      </c>
      <c r="B140" s="138">
        <v>2</v>
      </c>
      <c r="C140" s="138">
        <v>0</v>
      </c>
      <c r="D140" s="138">
        <v>6</v>
      </c>
      <c r="F140" s="139">
        <v>1500</v>
      </c>
      <c r="H140" s="145"/>
      <c r="I140" s="145"/>
      <c r="J140" s="145"/>
      <c r="K140" s="145"/>
      <c r="L140" s="145"/>
      <c r="M140" s="145"/>
      <c r="N140" s="145"/>
      <c r="O140" s="145"/>
      <c r="P140" s="145"/>
      <c r="Q140" s="145"/>
      <c r="R140" s="145"/>
      <c r="S140" s="146"/>
      <c r="T140" s="146"/>
    </row>
    <row r="141" spans="1:20" ht="12.75">
      <c r="A141" t="s">
        <v>539</v>
      </c>
      <c r="B141" s="138">
        <v>5</v>
      </c>
      <c r="C141" s="138">
        <v>0</v>
      </c>
      <c r="D141" s="138">
        <v>6</v>
      </c>
      <c r="F141" s="139">
        <v>2000</v>
      </c>
      <c r="H141" s="145"/>
      <c r="I141" s="145"/>
      <c r="J141" s="145"/>
      <c r="K141" s="145"/>
      <c r="L141" s="145"/>
      <c r="M141" s="145"/>
      <c r="N141" s="145"/>
      <c r="O141" s="145"/>
      <c r="P141" s="145"/>
      <c r="Q141" s="145"/>
      <c r="R141" s="145"/>
      <c r="S141" s="146"/>
      <c r="T141" s="146"/>
    </row>
    <row r="142" spans="1:20" ht="12.75">
      <c r="A142" t="s">
        <v>362</v>
      </c>
      <c r="B142" s="138">
        <v>2</v>
      </c>
      <c r="C142" s="138">
        <v>0</v>
      </c>
      <c r="D142" s="138">
        <v>0</v>
      </c>
      <c r="F142" s="139">
        <v>2000</v>
      </c>
      <c r="G142" t="s">
        <v>364</v>
      </c>
      <c r="H142" s="145"/>
      <c r="I142" s="145"/>
      <c r="J142" s="145"/>
      <c r="K142" s="145"/>
      <c r="L142" s="145"/>
      <c r="M142" s="145"/>
      <c r="N142" s="145"/>
      <c r="O142" s="145"/>
      <c r="P142" s="145"/>
      <c r="Q142" s="145"/>
      <c r="R142" s="145"/>
      <c r="S142" s="146"/>
      <c r="T142" s="146"/>
    </row>
    <row r="143" spans="1:20" ht="12.75">
      <c r="A143" t="s">
        <v>540</v>
      </c>
      <c r="B143" s="138">
        <v>1</v>
      </c>
      <c r="C143" s="138">
        <v>0</v>
      </c>
      <c r="D143" s="138">
        <v>16</v>
      </c>
      <c r="F143" s="139">
        <v>2000</v>
      </c>
      <c r="H143" s="145"/>
      <c r="I143" s="145"/>
      <c r="J143" s="145"/>
      <c r="K143" s="145"/>
      <c r="L143" s="145"/>
      <c r="M143" s="145"/>
      <c r="N143" s="145"/>
      <c r="O143" s="145"/>
      <c r="P143" s="145"/>
      <c r="Q143" s="145"/>
      <c r="R143" s="145"/>
      <c r="S143" s="146"/>
      <c r="T143" s="146"/>
    </row>
    <row r="144" spans="1:20" ht="12.75">
      <c r="A144" t="s">
        <v>541</v>
      </c>
      <c r="B144" s="138">
        <v>2</v>
      </c>
      <c r="C144" s="138">
        <v>0</v>
      </c>
      <c r="D144" s="138">
        <v>16</v>
      </c>
      <c r="F144" s="139">
        <v>5000</v>
      </c>
      <c r="H144" s="145"/>
      <c r="I144" s="145"/>
      <c r="J144" s="145"/>
      <c r="K144" s="145"/>
      <c r="L144" s="145"/>
      <c r="M144" s="145"/>
      <c r="N144" s="145"/>
      <c r="O144" s="145"/>
      <c r="P144" s="145"/>
      <c r="Q144" s="145"/>
      <c r="R144" s="145"/>
      <c r="S144" s="146"/>
      <c r="T144" s="146"/>
    </row>
    <row r="145" spans="1:20" ht="12.75">
      <c r="A145" t="s">
        <v>542</v>
      </c>
      <c r="B145" s="138">
        <v>3</v>
      </c>
      <c r="C145" s="138">
        <v>0</v>
      </c>
      <c r="D145" s="138">
        <v>20</v>
      </c>
      <c r="F145" s="139">
        <v>10000</v>
      </c>
      <c r="H145" s="145"/>
      <c r="I145" s="145"/>
      <c r="J145" s="145"/>
      <c r="K145" s="145"/>
      <c r="L145" s="145"/>
      <c r="M145" s="145"/>
      <c r="N145" s="145"/>
      <c r="O145" s="145"/>
      <c r="P145" s="145"/>
      <c r="Q145" s="145"/>
      <c r="R145" s="145"/>
      <c r="S145" s="146"/>
      <c r="T145" s="146"/>
    </row>
    <row r="146" spans="1:20" ht="12.75">
      <c r="A146" t="s">
        <v>367</v>
      </c>
      <c r="B146" s="138">
        <v>1</v>
      </c>
      <c r="C146" s="138">
        <v>0</v>
      </c>
      <c r="D146" s="138">
        <v>0</v>
      </c>
      <c r="F146" s="139">
        <v>500</v>
      </c>
      <c r="H146" s="145"/>
      <c r="I146" s="145"/>
      <c r="J146" s="145"/>
      <c r="K146" s="145"/>
      <c r="L146" s="145"/>
      <c r="M146" s="145"/>
      <c r="N146" s="145"/>
      <c r="O146" s="145"/>
      <c r="P146" s="145"/>
      <c r="Q146" s="145"/>
      <c r="R146" s="145"/>
      <c r="S146" s="146"/>
      <c r="T146" s="146"/>
    </row>
    <row r="147" spans="1:20" ht="12.75">
      <c r="A147" t="s">
        <v>368</v>
      </c>
      <c r="B147" s="138">
        <v>1</v>
      </c>
      <c r="C147" s="138">
        <v>0</v>
      </c>
      <c r="D147" s="138">
        <v>12</v>
      </c>
      <c r="F147" s="139">
        <v>1000</v>
      </c>
      <c r="G147" t="s">
        <v>369</v>
      </c>
      <c r="H147" s="145"/>
      <c r="I147" s="145"/>
      <c r="J147" s="145"/>
      <c r="K147" s="145"/>
      <c r="L147" s="145"/>
      <c r="M147" s="145"/>
      <c r="N147" s="145"/>
      <c r="O147" s="145"/>
      <c r="P147" s="145"/>
      <c r="Q147" s="145"/>
      <c r="R147" s="145"/>
      <c r="S147" s="146"/>
      <c r="T147" s="146"/>
    </row>
    <row r="148" spans="1:20" ht="12.75">
      <c r="A148" t="s">
        <v>370</v>
      </c>
      <c r="B148" s="138">
        <v>2</v>
      </c>
      <c r="C148" s="138">
        <v>0</v>
      </c>
      <c r="D148" s="138">
        <v>4</v>
      </c>
      <c r="E148" s="144" t="s">
        <v>543</v>
      </c>
      <c r="F148" s="139">
        <v>1000</v>
      </c>
      <c r="G148" s="79" t="s">
        <v>372</v>
      </c>
      <c r="H148" s="145"/>
      <c r="I148" s="145"/>
      <c r="J148" s="145"/>
      <c r="K148" s="145"/>
      <c r="L148" s="145"/>
      <c r="M148" s="145"/>
      <c r="N148" s="145"/>
      <c r="O148" s="145"/>
      <c r="P148" s="145"/>
      <c r="Q148" s="145"/>
      <c r="R148" s="145"/>
      <c r="S148" s="146"/>
      <c r="T148" s="146"/>
    </row>
    <row r="149" spans="1:20" ht="12.75">
      <c r="A149" t="s">
        <v>373</v>
      </c>
      <c r="B149" s="138">
        <v>2</v>
      </c>
      <c r="C149" s="138">
        <v>0</v>
      </c>
      <c r="D149" s="138">
        <v>0</v>
      </c>
      <c r="F149" s="139">
        <v>2000</v>
      </c>
      <c r="G149" t="s">
        <v>374</v>
      </c>
      <c r="H149" s="145"/>
      <c r="I149" s="145"/>
      <c r="J149" s="145"/>
      <c r="K149" s="145"/>
      <c r="L149" s="145"/>
      <c r="M149" s="145"/>
      <c r="N149" s="145"/>
      <c r="O149" s="145"/>
      <c r="P149" s="145"/>
      <c r="Q149" s="145"/>
      <c r="R149" s="145"/>
      <c r="S149" s="146"/>
      <c r="T149" s="146"/>
    </row>
    <row r="150" spans="1:20" ht="12.75">
      <c r="A150" t="s">
        <v>375</v>
      </c>
      <c r="B150" s="138">
        <v>2</v>
      </c>
      <c r="C150" s="138">
        <v>0</v>
      </c>
      <c r="D150" s="138">
        <v>12</v>
      </c>
      <c r="F150" s="139">
        <v>5000</v>
      </c>
      <c r="H150" s="145"/>
      <c r="I150" s="145"/>
      <c r="J150" s="145"/>
      <c r="K150" s="145"/>
      <c r="L150" s="145"/>
      <c r="M150" s="145"/>
      <c r="N150" s="145"/>
      <c r="O150" s="145"/>
      <c r="P150" s="145"/>
      <c r="Q150" s="145"/>
      <c r="R150" s="145"/>
      <c r="S150" s="146"/>
      <c r="T150" s="146"/>
    </row>
    <row r="151" spans="1:20" ht="12.75">
      <c r="A151" t="s">
        <v>379</v>
      </c>
      <c r="B151" s="138">
        <v>2</v>
      </c>
      <c r="C151" s="138">
        <v>0</v>
      </c>
      <c r="D151" s="138">
        <v>10</v>
      </c>
      <c r="F151" s="139">
        <v>6000</v>
      </c>
      <c r="H151" s="145"/>
      <c r="I151" s="145"/>
      <c r="J151" s="145"/>
      <c r="K151" s="145"/>
      <c r="L151" s="145"/>
      <c r="M151" s="145"/>
      <c r="N151" s="145"/>
      <c r="O151" s="145"/>
      <c r="P151" s="145"/>
      <c r="Q151" s="145"/>
      <c r="R151" s="145"/>
      <c r="S151" s="146"/>
      <c r="T151" s="146"/>
    </row>
    <row r="152" spans="1:20" ht="12.75">
      <c r="A152" t="s">
        <v>414</v>
      </c>
      <c r="B152" s="138">
        <v>1</v>
      </c>
      <c r="C152" s="138">
        <v>0</v>
      </c>
      <c r="D152" s="138">
        <v>4</v>
      </c>
      <c r="F152" s="139">
        <v>750</v>
      </c>
      <c r="H152" s="145"/>
      <c r="I152" s="145"/>
      <c r="J152" s="145"/>
      <c r="K152" s="145"/>
      <c r="L152" s="145"/>
      <c r="M152" s="145"/>
      <c r="N152" s="145"/>
      <c r="O152" s="145"/>
      <c r="P152" s="145"/>
      <c r="Q152" s="145"/>
      <c r="R152" s="145"/>
      <c r="S152" s="146"/>
      <c r="T152" s="146"/>
    </row>
    <row r="153" spans="1:20" ht="12.75">
      <c r="A153" t="s">
        <v>415</v>
      </c>
      <c r="B153" s="138">
        <v>5</v>
      </c>
      <c r="C153" s="138">
        <v>0</v>
      </c>
      <c r="D153" s="138">
        <v>8</v>
      </c>
      <c r="F153" s="139">
        <v>1500</v>
      </c>
      <c r="H153" s="145"/>
      <c r="I153" s="145"/>
      <c r="J153" s="145"/>
      <c r="K153" s="145"/>
      <c r="L153" s="145"/>
      <c r="M153" s="145"/>
      <c r="N153" s="145"/>
      <c r="O153" s="145"/>
      <c r="P153" s="145"/>
      <c r="Q153" s="145"/>
      <c r="R153" s="145"/>
      <c r="S153" s="146"/>
      <c r="T153" s="146"/>
    </row>
    <row r="154" spans="1:20" ht="12.75">
      <c r="A154" t="s">
        <v>416</v>
      </c>
      <c r="B154" s="138">
        <v>3</v>
      </c>
      <c r="C154" s="138">
        <v>0</v>
      </c>
      <c r="D154" s="138">
        <v>4</v>
      </c>
      <c r="F154" s="139">
        <v>650</v>
      </c>
      <c r="H154" s="145"/>
      <c r="I154" s="145"/>
      <c r="J154" s="145"/>
      <c r="K154" s="145"/>
      <c r="L154" s="145"/>
      <c r="M154" s="145"/>
      <c r="N154" s="145"/>
      <c r="O154" s="145"/>
      <c r="P154" s="145"/>
      <c r="Q154" s="145"/>
      <c r="R154" s="145"/>
      <c r="S154" s="146"/>
      <c r="T154" s="146"/>
    </row>
    <row r="155" spans="8:20" ht="12.75">
      <c r="H155" s="145"/>
      <c r="I155" s="145"/>
      <c r="J155" s="145"/>
      <c r="K155" s="145"/>
      <c r="L155" s="145"/>
      <c r="M155" s="145"/>
      <c r="N155" s="145"/>
      <c r="O155" s="145"/>
      <c r="P155" s="145"/>
      <c r="Q155" s="145"/>
      <c r="R155" s="145"/>
      <c r="S155" s="146"/>
      <c r="T155" s="146"/>
    </row>
    <row r="156" spans="1:20" ht="12.75">
      <c r="A156" s="67" t="s">
        <v>544</v>
      </c>
      <c r="B156" s="147" t="s">
        <v>503</v>
      </c>
      <c r="C156" s="147" t="s">
        <v>49</v>
      </c>
      <c r="D156" s="147" t="s">
        <v>133</v>
      </c>
      <c r="E156" s="147"/>
      <c r="F156" s="142" t="s">
        <v>328</v>
      </c>
      <c r="H156" s="145"/>
      <c r="I156" s="145"/>
      <c r="J156" s="145"/>
      <c r="K156" s="145"/>
      <c r="L156" s="145"/>
      <c r="M156" s="145"/>
      <c r="N156" s="145"/>
      <c r="O156" s="145"/>
      <c r="P156" s="145"/>
      <c r="Q156" s="145"/>
      <c r="R156" s="145"/>
      <c r="S156" s="146"/>
      <c r="T156" s="146"/>
    </row>
    <row r="157" spans="1:20" ht="12.75">
      <c r="A157" t="s">
        <v>433</v>
      </c>
      <c r="B157" s="138">
        <v>2</v>
      </c>
      <c r="C157" s="138">
        <v>0</v>
      </c>
      <c r="D157" s="138">
        <v>12</v>
      </c>
      <c r="F157" s="139">
        <v>800</v>
      </c>
      <c r="H157" s="145"/>
      <c r="I157" s="145"/>
      <c r="J157" s="145"/>
      <c r="K157" s="145"/>
      <c r="L157" s="145"/>
      <c r="M157" s="145"/>
      <c r="N157" s="145"/>
      <c r="O157" s="145"/>
      <c r="P157" s="145"/>
      <c r="Q157" s="145"/>
      <c r="R157" s="145"/>
      <c r="S157" s="146"/>
      <c r="T157" s="146"/>
    </row>
    <row r="158" spans="1:20" ht="12.75">
      <c r="A158" t="s">
        <v>434</v>
      </c>
      <c r="B158" s="138">
        <v>4</v>
      </c>
      <c r="C158" s="138">
        <v>0</v>
      </c>
      <c r="D158" s="138">
        <v>14</v>
      </c>
      <c r="F158" s="139">
        <v>1500</v>
      </c>
      <c r="H158" s="145"/>
      <c r="I158" s="145"/>
      <c r="J158" s="145"/>
      <c r="K158" s="145"/>
      <c r="L158" s="145"/>
      <c r="M158" s="145"/>
      <c r="N158" s="145"/>
      <c r="O158" s="145"/>
      <c r="P158" s="145"/>
      <c r="Q158" s="145"/>
      <c r="R158" s="145"/>
      <c r="S158" s="146"/>
      <c r="T158" s="146"/>
    </row>
    <row r="159" spans="1:20" ht="12.75">
      <c r="A159" t="s">
        <v>435</v>
      </c>
      <c r="B159" s="138">
        <v>4</v>
      </c>
      <c r="C159" s="138">
        <v>0</v>
      </c>
      <c r="D159" s="138">
        <v>16</v>
      </c>
      <c r="F159" s="139">
        <v>2000</v>
      </c>
      <c r="H159" s="145"/>
      <c r="I159" s="145"/>
      <c r="J159" s="145"/>
      <c r="K159" s="145"/>
      <c r="L159" s="145"/>
      <c r="M159" s="145"/>
      <c r="N159" s="145"/>
      <c r="O159" s="145"/>
      <c r="P159" s="145"/>
      <c r="Q159" s="145"/>
      <c r="R159" s="145"/>
      <c r="S159" s="146"/>
      <c r="T159" s="146"/>
    </row>
    <row r="160" spans="1:20" ht="12.75">
      <c r="A160" t="s">
        <v>436</v>
      </c>
      <c r="B160" s="138">
        <v>6</v>
      </c>
      <c r="C160" s="138">
        <v>0</v>
      </c>
      <c r="D160" s="138">
        <v>16</v>
      </c>
      <c r="F160" s="139">
        <v>3200</v>
      </c>
      <c r="H160" s="145"/>
      <c r="I160" s="145"/>
      <c r="J160" s="145"/>
      <c r="K160" s="145"/>
      <c r="L160" s="145"/>
      <c r="M160" s="145"/>
      <c r="N160" s="145"/>
      <c r="O160" s="145"/>
      <c r="P160" s="145"/>
      <c r="Q160" s="145"/>
      <c r="R160" s="145"/>
      <c r="S160" s="146"/>
      <c r="T160" s="146"/>
    </row>
    <row r="161" spans="1:20" ht="12.75">
      <c r="A161" t="s">
        <v>437</v>
      </c>
      <c r="B161" s="138">
        <v>10</v>
      </c>
      <c r="C161" s="138">
        <v>0</v>
      </c>
      <c r="D161" s="138">
        <v>20</v>
      </c>
      <c r="F161" s="139">
        <v>2500</v>
      </c>
      <c r="H161" s="145"/>
      <c r="I161" s="145"/>
      <c r="J161" s="145"/>
      <c r="K161" s="145"/>
      <c r="L161" s="145"/>
      <c r="M161" s="145"/>
      <c r="N161" s="145"/>
      <c r="O161" s="145"/>
      <c r="P161" s="145"/>
      <c r="Q161" s="145"/>
      <c r="R161" s="145"/>
      <c r="S161" s="146"/>
      <c r="T161" s="146"/>
    </row>
    <row r="162" spans="1:20" ht="12.75">
      <c r="A162" t="s">
        <v>438</v>
      </c>
      <c r="B162" s="138">
        <v>11</v>
      </c>
      <c r="C162" s="138">
        <v>0</v>
      </c>
      <c r="D162" s="138">
        <v>20</v>
      </c>
      <c r="F162" s="139">
        <v>2100</v>
      </c>
      <c r="H162" s="145"/>
      <c r="I162" s="145"/>
      <c r="J162" s="145"/>
      <c r="K162" s="145"/>
      <c r="L162" s="145"/>
      <c r="M162" s="145"/>
      <c r="N162" s="145"/>
      <c r="O162" s="145"/>
      <c r="P162" s="145"/>
      <c r="Q162" s="145"/>
      <c r="R162" s="145"/>
      <c r="S162" s="146"/>
      <c r="T162" s="146"/>
    </row>
    <row r="163" spans="1:20" ht="12.75">
      <c r="A163" t="s">
        <v>439</v>
      </c>
      <c r="B163" s="138">
        <v>15</v>
      </c>
      <c r="C163" s="138">
        <v>0</v>
      </c>
      <c r="D163" s="138">
        <v>20</v>
      </c>
      <c r="F163" s="139">
        <v>4000</v>
      </c>
      <c r="H163" s="145"/>
      <c r="I163" s="145"/>
      <c r="J163" s="145"/>
      <c r="K163" s="145"/>
      <c r="L163" s="145"/>
      <c r="M163" s="145"/>
      <c r="N163" s="145"/>
      <c r="O163" s="145"/>
      <c r="P163" s="145"/>
      <c r="Q163" s="145"/>
      <c r="R163" s="145"/>
      <c r="S163" s="146"/>
      <c r="T163" s="146"/>
    </row>
    <row r="164" spans="1:20" ht="12.75">
      <c r="A164" t="s">
        <v>440</v>
      </c>
      <c r="B164" s="138">
        <v>1</v>
      </c>
      <c r="C164" s="138">
        <v>0</v>
      </c>
      <c r="D164" s="138">
        <v>0</v>
      </c>
      <c r="F164" s="139">
        <v>100</v>
      </c>
      <c r="H164" s="145"/>
      <c r="I164" s="145"/>
      <c r="J164" s="145"/>
      <c r="K164" s="145"/>
      <c r="L164" s="145"/>
      <c r="M164" s="145"/>
      <c r="N164" s="145"/>
      <c r="O164" s="145"/>
      <c r="P164" s="145"/>
      <c r="Q164" s="145"/>
      <c r="R164" s="145"/>
      <c r="S164" s="146"/>
      <c r="T164" s="146"/>
    </row>
    <row r="165" spans="1:20" ht="12.75">
      <c r="A165" t="s">
        <v>441</v>
      </c>
      <c r="B165" s="138">
        <v>1</v>
      </c>
      <c r="C165" s="138">
        <v>0</v>
      </c>
      <c r="D165" s="138">
        <v>0</v>
      </c>
      <c r="F165" s="139">
        <v>100</v>
      </c>
      <c r="H165" s="145"/>
      <c r="I165" s="145"/>
      <c r="J165" s="145"/>
      <c r="K165" s="145"/>
      <c r="L165" s="145"/>
      <c r="M165" s="145"/>
      <c r="N165" s="145"/>
      <c r="O165" s="145"/>
      <c r="P165" s="145"/>
      <c r="Q165" s="145"/>
      <c r="R165" s="145"/>
      <c r="S165" s="146"/>
      <c r="T165" s="146"/>
    </row>
    <row r="166" spans="1:20" ht="12.75">
      <c r="A166" t="s">
        <v>442</v>
      </c>
      <c r="B166" s="138">
        <v>2</v>
      </c>
      <c r="C166" s="138">
        <v>0</v>
      </c>
      <c r="D166" s="138">
        <v>0</v>
      </c>
      <c r="F166" s="139">
        <v>400</v>
      </c>
      <c r="H166" s="145"/>
      <c r="I166" s="145"/>
      <c r="J166" s="145"/>
      <c r="K166" s="145"/>
      <c r="L166" s="145"/>
      <c r="M166" s="145"/>
      <c r="N166" s="145"/>
      <c r="O166" s="145"/>
      <c r="P166" s="145"/>
      <c r="Q166" s="145"/>
      <c r="R166" s="145"/>
      <c r="S166" s="146"/>
      <c r="T166" s="146"/>
    </row>
    <row r="167" spans="1:20" ht="12.75">
      <c r="A167" t="s">
        <v>443</v>
      </c>
      <c r="B167" s="138">
        <v>3</v>
      </c>
      <c r="C167" s="138">
        <v>0</v>
      </c>
      <c r="D167" s="138">
        <v>0</v>
      </c>
      <c r="F167" s="139">
        <v>600</v>
      </c>
      <c r="H167" s="145"/>
      <c r="I167" s="145"/>
      <c r="J167" s="145"/>
      <c r="K167" s="145"/>
      <c r="L167" s="145"/>
      <c r="M167" s="145"/>
      <c r="N167" s="145"/>
      <c r="O167" s="145"/>
      <c r="P167" s="145"/>
      <c r="Q167" s="145"/>
      <c r="R167" s="145"/>
      <c r="S167" s="146"/>
      <c r="T167" s="146"/>
    </row>
    <row r="168" spans="8:20" ht="12.75">
      <c r="H168" s="145"/>
      <c r="I168" s="145"/>
      <c r="J168" s="145"/>
      <c r="K168" s="145"/>
      <c r="L168" s="145"/>
      <c r="M168" s="145"/>
      <c r="N168" s="145"/>
      <c r="O168" s="145"/>
      <c r="P168" s="145"/>
      <c r="Q168" s="145"/>
      <c r="R168" s="145"/>
      <c r="S168" s="146"/>
      <c r="T168" s="146"/>
    </row>
    <row r="169" spans="1:20" ht="12.75">
      <c r="A169" s="67" t="s">
        <v>545</v>
      </c>
      <c r="B169" s="147" t="s">
        <v>503</v>
      </c>
      <c r="C169" s="147" t="s">
        <v>49</v>
      </c>
      <c r="D169" s="147" t="s">
        <v>133</v>
      </c>
      <c r="E169" s="147"/>
      <c r="F169" s="142" t="s">
        <v>328</v>
      </c>
      <c r="H169" s="145"/>
      <c r="I169" s="145"/>
      <c r="J169" s="145"/>
      <c r="K169" s="145"/>
      <c r="L169" s="145"/>
      <c r="M169" s="145"/>
      <c r="N169" s="145"/>
      <c r="O169" s="145"/>
      <c r="P169" s="145"/>
      <c r="Q169" s="145"/>
      <c r="R169" s="145"/>
      <c r="S169" s="146"/>
      <c r="T169" s="146"/>
    </row>
    <row r="170" spans="1:20" ht="12.75">
      <c r="A170" t="s">
        <v>445</v>
      </c>
      <c r="B170" s="138">
        <v>3</v>
      </c>
      <c r="C170" s="138">
        <v>0</v>
      </c>
      <c r="D170" s="138">
        <v>10</v>
      </c>
      <c r="F170" s="139">
        <v>1500</v>
      </c>
      <c r="H170" s="145"/>
      <c r="I170" s="145"/>
      <c r="J170" s="145"/>
      <c r="K170" s="145"/>
      <c r="L170" s="145"/>
      <c r="M170" s="145"/>
      <c r="N170" s="145"/>
      <c r="O170" s="145"/>
      <c r="P170" s="145"/>
      <c r="Q170" s="145"/>
      <c r="R170" s="145"/>
      <c r="S170" s="146"/>
      <c r="T170" s="146"/>
    </row>
    <row r="171" spans="1:20" ht="12.75">
      <c r="A171" t="s">
        <v>446</v>
      </c>
      <c r="B171" s="138">
        <v>2</v>
      </c>
      <c r="C171" s="138">
        <v>0</v>
      </c>
      <c r="D171" s="138">
        <v>10</v>
      </c>
      <c r="F171" s="139">
        <v>900</v>
      </c>
      <c r="H171" s="145"/>
      <c r="I171" s="145"/>
      <c r="J171" s="145"/>
      <c r="K171" s="145"/>
      <c r="L171" s="145"/>
      <c r="M171" s="145"/>
      <c r="N171" s="145"/>
      <c r="O171" s="145"/>
      <c r="P171" s="145"/>
      <c r="Q171" s="145"/>
      <c r="R171" s="145"/>
      <c r="S171" s="146"/>
      <c r="T171" s="146"/>
    </row>
    <row r="172" spans="1:20" ht="12.75">
      <c r="A172" t="s">
        <v>447</v>
      </c>
      <c r="B172" s="138">
        <v>3</v>
      </c>
      <c r="C172" s="138">
        <v>0</v>
      </c>
      <c r="D172" s="138">
        <v>12</v>
      </c>
      <c r="F172" s="139">
        <v>1800</v>
      </c>
      <c r="H172" s="145"/>
      <c r="I172" s="145"/>
      <c r="J172" s="145"/>
      <c r="K172" s="145"/>
      <c r="L172" s="145"/>
      <c r="M172" s="145"/>
      <c r="N172" s="145"/>
      <c r="O172" s="145"/>
      <c r="P172" s="145"/>
      <c r="Q172" s="145"/>
      <c r="R172" s="145"/>
      <c r="S172" s="146"/>
      <c r="T172" s="146"/>
    </row>
    <row r="173" spans="1:20" ht="12.75">
      <c r="A173" t="s">
        <v>448</v>
      </c>
      <c r="B173" s="138">
        <v>3</v>
      </c>
      <c r="C173" s="138">
        <v>0</v>
      </c>
      <c r="D173" s="138">
        <v>8</v>
      </c>
      <c r="F173" s="139">
        <v>1000</v>
      </c>
      <c r="H173" s="145"/>
      <c r="I173" s="145"/>
      <c r="J173" s="145"/>
      <c r="K173" s="145"/>
      <c r="L173" s="145"/>
      <c r="M173" s="145"/>
      <c r="N173" s="145"/>
      <c r="O173" s="145"/>
      <c r="P173" s="145"/>
      <c r="Q173" s="145"/>
      <c r="R173" s="145"/>
      <c r="S173" s="146"/>
      <c r="T173" s="146"/>
    </row>
    <row r="174" spans="8:20" ht="12.75">
      <c r="H174" s="145"/>
      <c r="I174" s="145"/>
      <c r="J174" s="145"/>
      <c r="K174" s="145"/>
      <c r="L174" s="145"/>
      <c r="M174" s="145"/>
      <c r="N174" s="145"/>
      <c r="O174" s="145"/>
      <c r="P174" s="145"/>
      <c r="Q174" s="145"/>
      <c r="R174" s="145"/>
      <c r="S174" s="146"/>
      <c r="T174" s="146"/>
    </row>
    <row r="175" spans="1:20" ht="12.75">
      <c r="A175" s="67" t="s">
        <v>546</v>
      </c>
      <c r="B175" s="147" t="s">
        <v>503</v>
      </c>
      <c r="C175" s="147" t="s">
        <v>49</v>
      </c>
      <c r="D175" s="147" t="s">
        <v>133</v>
      </c>
      <c r="E175" s="147"/>
      <c r="F175" s="142" t="s">
        <v>328</v>
      </c>
      <c r="H175" s="145"/>
      <c r="I175" s="145"/>
      <c r="J175" s="145"/>
      <c r="K175" s="145"/>
      <c r="L175" s="145"/>
      <c r="M175" s="145"/>
      <c r="N175" s="145"/>
      <c r="O175" s="145"/>
      <c r="P175" s="145"/>
      <c r="Q175" s="145"/>
      <c r="R175" s="145"/>
      <c r="S175" s="146"/>
      <c r="T175" s="146"/>
    </row>
    <row r="176" spans="1:20" ht="12.75">
      <c r="A176" t="s">
        <v>547</v>
      </c>
      <c r="B176" s="138">
        <v>2</v>
      </c>
      <c r="C176" s="138">
        <v>0</v>
      </c>
      <c r="D176" s="138">
        <v>5</v>
      </c>
      <c r="E176" s="144">
        <v>1</v>
      </c>
      <c r="F176" s="139">
        <v>300</v>
      </c>
      <c r="H176" s="145"/>
      <c r="I176" s="145"/>
      <c r="J176" s="145"/>
      <c r="K176" s="145"/>
      <c r="L176" s="145"/>
      <c r="M176" s="145"/>
      <c r="N176" s="145"/>
      <c r="O176" s="145"/>
      <c r="P176" s="145"/>
      <c r="Q176" s="145"/>
      <c r="R176" s="145"/>
      <c r="S176" s="146">
        <v>1</v>
      </c>
      <c r="T176" s="146">
        <v>1</v>
      </c>
    </row>
    <row r="177" spans="1:20" ht="12.75">
      <c r="A177" t="s">
        <v>548</v>
      </c>
      <c r="B177" s="138">
        <v>1</v>
      </c>
      <c r="C177" s="138">
        <v>0</v>
      </c>
      <c r="D177" s="138">
        <v>3</v>
      </c>
      <c r="E177" s="144">
        <v>1</v>
      </c>
      <c r="F177" s="139">
        <v>200</v>
      </c>
      <c r="H177" s="145">
        <v>1</v>
      </c>
      <c r="I177" s="145"/>
      <c r="J177" s="145"/>
      <c r="K177" s="145"/>
      <c r="L177" s="145"/>
      <c r="M177" s="145"/>
      <c r="N177" s="145"/>
      <c r="O177" s="145"/>
      <c r="P177" s="145"/>
      <c r="Q177" s="145"/>
      <c r="R177" s="145"/>
      <c r="S177" s="146"/>
      <c r="T177" s="146"/>
    </row>
    <row r="178" spans="1:20" ht="12.75">
      <c r="A178" t="s">
        <v>549</v>
      </c>
      <c r="B178" s="138">
        <v>1</v>
      </c>
      <c r="C178" s="138">
        <v>0</v>
      </c>
      <c r="D178" s="138">
        <v>3</v>
      </c>
      <c r="E178" s="144">
        <v>1</v>
      </c>
      <c r="F178" s="139">
        <v>250</v>
      </c>
      <c r="H178" s="145"/>
      <c r="I178" s="145"/>
      <c r="J178" s="145"/>
      <c r="K178" s="145"/>
      <c r="L178" s="145"/>
      <c r="M178" s="145">
        <v>1</v>
      </c>
      <c r="N178" s="145"/>
      <c r="O178" s="145"/>
      <c r="P178" s="145"/>
      <c r="Q178" s="145"/>
      <c r="R178" s="145"/>
      <c r="S178" s="146"/>
      <c r="T178" s="146"/>
    </row>
    <row r="179" spans="1:20" ht="12.75">
      <c r="A179" t="s">
        <v>550</v>
      </c>
      <c r="B179" s="138">
        <v>1</v>
      </c>
      <c r="C179" s="138">
        <v>0</v>
      </c>
      <c r="D179" s="138">
        <v>3</v>
      </c>
      <c r="E179" s="144">
        <v>1</v>
      </c>
      <c r="F179" s="139">
        <v>250</v>
      </c>
      <c r="H179" s="145"/>
      <c r="I179" s="145"/>
      <c r="J179" s="145"/>
      <c r="K179" s="145">
        <v>1</v>
      </c>
      <c r="L179" s="145"/>
      <c r="M179" s="145"/>
      <c r="N179" s="145"/>
      <c r="O179" s="145"/>
      <c r="P179" s="145"/>
      <c r="Q179" s="145"/>
      <c r="R179" s="145"/>
      <c r="S179" s="146"/>
      <c r="T179" s="146"/>
    </row>
    <row r="180" spans="8:20" ht="12.75">
      <c r="H180" s="145"/>
      <c r="I180" s="145"/>
      <c r="J180" s="145"/>
      <c r="K180" s="145"/>
      <c r="L180" s="145"/>
      <c r="M180" s="145"/>
      <c r="N180" s="145"/>
      <c r="O180" s="145"/>
      <c r="P180" s="145"/>
      <c r="Q180" s="145"/>
      <c r="R180" s="145"/>
      <c r="S180" s="146"/>
      <c r="T180" s="146"/>
    </row>
    <row r="181" spans="1:20" ht="12.75">
      <c r="A181" s="67" t="s">
        <v>551</v>
      </c>
      <c r="H181" s="145"/>
      <c r="I181" s="145"/>
      <c r="J181" s="145"/>
      <c r="K181" s="145"/>
      <c r="L181" s="145"/>
      <c r="M181" s="145"/>
      <c r="N181" s="145"/>
      <c r="O181" s="145"/>
      <c r="P181" s="145"/>
      <c r="Q181" s="145"/>
      <c r="R181" s="145"/>
      <c r="S181" s="146"/>
      <c r="T181" s="146"/>
    </row>
    <row r="182" spans="1:20" ht="12.75">
      <c r="A182" t="s">
        <v>385</v>
      </c>
      <c r="B182" s="138">
        <v>1</v>
      </c>
      <c r="C182" s="138">
        <v>0</v>
      </c>
      <c r="D182" s="138">
        <v>4</v>
      </c>
      <c r="F182" s="139">
        <v>750</v>
      </c>
      <c r="H182" s="145"/>
      <c r="I182" s="145"/>
      <c r="J182" s="145"/>
      <c r="K182" s="145"/>
      <c r="L182" s="145"/>
      <c r="M182" s="145"/>
      <c r="N182" s="145"/>
      <c r="O182" s="145"/>
      <c r="P182" s="145"/>
      <c r="Q182" s="145"/>
      <c r="R182" s="145"/>
      <c r="S182" s="146"/>
      <c r="T182" s="146"/>
    </row>
    <row r="183" spans="1:20" ht="12.75">
      <c r="A183" t="s">
        <v>387</v>
      </c>
      <c r="B183" s="138">
        <v>2</v>
      </c>
      <c r="C183" s="138">
        <v>0</v>
      </c>
      <c r="D183" s="138">
        <v>4</v>
      </c>
      <c r="F183" s="139">
        <v>1000</v>
      </c>
      <c r="H183" s="145"/>
      <c r="I183" s="145"/>
      <c r="J183" s="145"/>
      <c r="K183" s="145"/>
      <c r="L183" s="145"/>
      <c r="M183" s="145"/>
      <c r="N183" s="145"/>
      <c r="O183" s="145"/>
      <c r="P183" s="145"/>
      <c r="Q183" s="145"/>
      <c r="R183" s="145"/>
      <c r="S183" s="146"/>
      <c r="T183" s="146"/>
    </row>
    <row r="184" spans="1:20" ht="12.75">
      <c r="A184" t="s">
        <v>552</v>
      </c>
      <c r="B184" s="138">
        <v>6</v>
      </c>
      <c r="C184" s="138">
        <v>0</v>
      </c>
      <c r="D184" s="138">
        <v>6</v>
      </c>
      <c r="F184" s="139">
        <v>3000</v>
      </c>
      <c r="H184" s="145"/>
      <c r="I184" s="145"/>
      <c r="J184" s="145"/>
      <c r="K184" s="145"/>
      <c r="L184" s="145"/>
      <c r="M184" s="145"/>
      <c r="N184" s="145"/>
      <c r="O184" s="145"/>
      <c r="P184" s="145"/>
      <c r="Q184" s="145"/>
      <c r="R184" s="145"/>
      <c r="S184" s="146"/>
      <c r="T184" s="146"/>
    </row>
    <row r="185" spans="1:20" ht="12.75">
      <c r="A185" t="s">
        <v>388</v>
      </c>
      <c r="B185" s="138">
        <v>0</v>
      </c>
      <c r="C185" s="138">
        <v>0</v>
      </c>
      <c r="D185" s="138">
        <v>4</v>
      </c>
      <c r="F185" s="139">
        <v>100</v>
      </c>
      <c r="H185" s="145"/>
      <c r="I185" s="145"/>
      <c r="J185" s="145"/>
      <c r="K185" s="145"/>
      <c r="L185" s="145"/>
      <c r="M185" s="145"/>
      <c r="N185" s="145"/>
      <c r="O185" s="145"/>
      <c r="P185" s="145"/>
      <c r="Q185" s="145"/>
      <c r="R185" s="145"/>
      <c r="S185" s="146"/>
      <c r="T185" s="146"/>
    </row>
    <row r="186" spans="1:20" ht="12.75">
      <c r="A186" t="s">
        <v>389</v>
      </c>
      <c r="B186" s="138">
        <v>1</v>
      </c>
      <c r="C186" s="138">
        <v>0</v>
      </c>
      <c r="D186" s="138">
        <v>16</v>
      </c>
      <c r="E186" s="144" t="s">
        <v>553</v>
      </c>
      <c r="F186" s="139">
        <v>15000</v>
      </c>
      <c r="H186" s="145"/>
      <c r="I186" s="145"/>
      <c r="J186" s="145"/>
      <c r="K186" s="145"/>
      <c r="L186" s="145"/>
      <c r="M186" s="145"/>
      <c r="N186" s="145"/>
      <c r="O186" s="145"/>
      <c r="P186" s="145"/>
      <c r="Q186" s="145"/>
      <c r="R186" s="145"/>
      <c r="S186" s="146"/>
      <c r="T186" s="146"/>
    </row>
    <row r="187" spans="1:20" ht="12.75">
      <c r="A187" t="s">
        <v>391</v>
      </c>
      <c r="B187" s="138">
        <v>3</v>
      </c>
      <c r="C187" s="138">
        <v>0</v>
      </c>
      <c r="D187" s="138">
        <v>8</v>
      </c>
      <c r="F187" s="139">
        <v>1000</v>
      </c>
      <c r="H187" s="145"/>
      <c r="I187" s="145"/>
      <c r="J187" s="145"/>
      <c r="K187" s="145"/>
      <c r="L187" s="145"/>
      <c r="M187" s="145"/>
      <c r="N187" s="145"/>
      <c r="O187" s="145"/>
      <c r="P187" s="145"/>
      <c r="Q187" s="145"/>
      <c r="R187" s="145"/>
      <c r="S187" s="146"/>
      <c r="T187" s="146"/>
    </row>
    <row r="188" spans="1:20" ht="12.75">
      <c r="A188" t="s">
        <v>392</v>
      </c>
      <c r="B188" s="138">
        <v>2</v>
      </c>
      <c r="C188" s="138">
        <v>0</v>
      </c>
      <c r="D188" s="138">
        <v>4</v>
      </c>
      <c r="F188" s="139">
        <v>1000</v>
      </c>
      <c r="H188" s="145"/>
      <c r="I188" s="145"/>
      <c r="J188" s="145"/>
      <c r="K188" s="145"/>
      <c r="L188" s="145"/>
      <c r="M188" s="145"/>
      <c r="N188" s="145"/>
      <c r="O188" s="145"/>
      <c r="P188" s="145"/>
      <c r="Q188" s="145"/>
      <c r="R188" s="145"/>
      <c r="S188" s="146"/>
      <c r="T188" s="146"/>
    </row>
    <row r="189" spans="1:20" ht="12.75">
      <c r="A189" t="s">
        <v>393</v>
      </c>
      <c r="B189" s="138">
        <v>1</v>
      </c>
      <c r="C189" s="138">
        <v>0</v>
      </c>
      <c r="D189" s="138">
        <v>3</v>
      </c>
      <c r="E189" s="144">
        <v>1</v>
      </c>
      <c r="F189" s="139">
        <v>1500</v>
      </c>
      <c r="H189" s="145"/>
      <c r="I189" s="145"/>
      <c r="J189" s="145"/>
      <c r="K189" s="145"/>
      <c r="L189" s="145"/>
      <c r="M189" s="145"/>
      <c r="N189" s="145"/>
      <c r="O189" s="145"/>
      <c r="P189" s="145"/>
      <c r="Q189" s="145"/>
      <c r="R189" s="145"/>
      <c r="S189" s="146"/>
      <c r="T189" s="146"/>
    </row>
    <row r="190" spans="1:20" ht="12.75">
      <c r="A190" t="s">
        <v>394</v>
      </c>
      <c r="B190" s="138">
        <v>2</v>
      </c>
      <c r="C190" s="138">
        <v>0</v>
      </c>
      <c r="D190" s="138">
        <v>4</v>
      </c>
      <c r="F190" s="139">
        <v>1000</v>
      </c>
      <c r="H190" s="145"/>
      <c r="I190" s="145"/>
      <c r="J190" s="145"/>
      <c r="K190" s="145"/>
      <c r="L190" s="145"/>
      <c r="M190" s="145"/>
      <c r="N190" s="145"/>
      <c r="O190" s="145"/>
      <c r="P190" s="145"/>
      <c r="Q190" s="145"/>
      <c r="R190" s="145"/>
      <c r="S190" s="146"/>
      <c r="T190" s="146"/>
    </row>
    <row r="191" spans="8:20" ht="12.75">
      <c r="H191" s="145"/>
      <c r="I191" s="145"/>
      <c r="J191" s="145"/>
      <c r="K191" s="145"/>
      <c r="L191" s="145"/>
      <c r="M191" s="145"/>
      <c r="N191" s="145"/>
      <c r="O191" s="145"/>
      <c r="P191" s="145"/>
      <c r="Q191" s="145"/>
      <c r="R191" s="145"/>
      <c r="S191" s="146"/>
      <c r="T191" s="146"/>
    </row>
    <row r="192" spans="1:20" ht="12.75">
      <c r="A192" s="67" t="s">
        <v>554</v>
      </c>
      <c r="H192" s="145"/>
      <c r="I192" s="145"/>
      <c r="J192" s="145"/>
      <c r="K192" s="145"/>
      <c r="L192" s="145"/>
      <c r="M192" s="145"/>
      <c r="N192" s="145"/>
      <c r="O192" s="145"/>
      <c r="P192" s="145"/>
      <c r="Q192" s="145"/>
      <c r="R192" s="145"/>
      <c r="S192" s="146"/>
      <c r="T192" s="146"/>
    </row>
    <row r="193" spans="1:20" ht="12.75">
      <c r="A193" t="s">
        <v>396</v>
      </c>
      <c r="B193" s="138">
        <v>1</v>
      </c>
      <c r="C193" s="138">
        <v>1</v>
      </c>
      <c r="D193" s="138">
        <v>3</v>
      </c>
      <c r="E193" s="144">
        <v>1</v>
      </c>
      <c r="F193" s="139">
        <v>1500</v>
      </c>
      <c r="H193" s="145"/>
      <c r="I193" s="145"/>
      <c r="J193" s="145"/>
      <c r="K193" s="145"/>
      <c r="L193" s="145"/>
      <c r="M193" s="145"/>
      <c r="N193" s="145"/>
      <c r="O193" s="145"/>
      <c r="P193" s="145"/>
      <c r="Q193" s="145"/>
      <c r="R193" s="145"/>
      <c r="S193" s="146"/>
      <c r="T193" s="146"/>
    </row>
    <row r="194" spans="1:20" ht="12.75">
      <c r="A194" t="s">
        <v>397</v>
      </c>
      <c r="B194" s="138">
        <v>4</v>
      </c>
      <c r="C194" s="138">
        <v>4</v>
      </c>
      <c r="D194" s="138">
        <v>10</v>
      </c>
      <c r="F194" s="139">
        <v>5000</v>
      </c>
      <c r="G194" s="79" t="s">
        <v>555</v>
      </c>
      <c r="H194" s="145"/>
      <c r="I194" s="145"/>
      <c r="J194" s="145"/>
      <c r="K194" s="145"/>
      <c r="L194" s="145"/>
      <c r="M194" s="145"/>
      <c r="N194" s="145"/>
      <c r="O194" s="145"/>
      <c r="P194" s="145"/>
      <c r="Q194" s="145"/>
      <c r="R194" s="145"/>
      <c r="S194" s="146"/>
      <c r="T194" s="146"/>
    </row>
    <row r="195" spans="1:20" ht="12.75">
      <c r="A195" t="s">
        <v>399</v>
      </c>
      <c r="B195" s="138">
        <v>1</v>
      </c>
      <c r="C195" s="138">
        <v>1</v>
      </c>
      <c r="D195" s="138">
        <v>4</v>
      </c>
      <c r="F195" s="139">
        <v>750</v>
      </c>
      <c r="G195" s="79" t="s">
        <v>556</v>
      </c>
      <c r="H195" s="145"/>
      <c r="I195" s="145"/>
      <c r="J195" s="145"/>
      <c r="K195" s="145"/>
      <c r="L195" s="145"/>
      <c r="M195" s="145"/>
      <c r="N195" s="145"/>
      <c r="O195" s="145"/>
      <c r="P195" s="145"/>
      <c r="Q195" s="145"/>
      <c r="R195" s="145"/>
      <c r="S195" s="146"/>
      <c r="T195" s="146"/>
    </row>
    <row r="196" spans="1:20" ht="12.75">
      <c r="A196" t="s">
        <v>402</v>
      </c>
      <c r="B196" s="138">
        <v>1</v>
      </c>
      <c r="C196" s="138">
        <v>1</v>
      </c>
      <c r="D196" s="138">
        <v>3</v>
      </c>
      <c r="E196" s="144">
        <v>1</v>
      </c>
      <c r="F196" s="139">
        <v>1000</v>
      </c>
      <c r="H196" s="145"/>
      <c r="I196" s="145"/>
      <c r="J196" s="145"/>
      <c r="K196" s="145"/>
      <c r="L196" s="145"/>
      <c r="M196" s="145"/>
      <c r="N196" s="145"/>
      <c r="O196" s="145"/>
      <c r="P196" s="145"/>
      <c r="Q196" s="145"/>
      <c r="R196" s="145"/>
      <c r="S196" s="146"/>
      <c r="T196" s="146"/>
    </row>
    <row r="197" spans="1:20" ht="12.75">
      <c r="A197" t="s">
        <v>404</v>
      </c>
      <c r="B197" s="138">
        <v>2</v>
      </c>
      <c r="C197" s="138">
        <v>2</v>
      </c>
      <c r="D197" s="138">
        <v>8</v>
      </c>
      <c r="F197" s="139">
        <v>750</v>
      </c>
      <c r="H197" s="145"/>
      <c r="I197" s="145"/>
      <c r="J197" s="145"/>
      <c r="K197" s="145"/>
      <c r="L197" s="145"/>
      <c r="M197" s="145"/>
      <c r="N197" s="145"/>
      <c r="O197" s="145"/>
      <c r="P197" s="145"/>
      <c r="Q197" s="145"/>
      <c r="R197" s="145"/>
      <c r="S197" s="146"/>
      <c r="T197" s="146"/>
    </row>
  </sheetData>
  <sheetProtection sheet="1" objects="1" scenarios="1"/>
  <printOptions/>
  <pageMargins left="0.7479166666666667" right="0.7479166666666667" top="0.9840277777777778" bottom="0.9840277777777778" header="0.5118055555555556" footer="0.5118055555555556"/>
  <pageSetup horizontalDpi="300" verticalDpi="300" orientation="portrait"/>
</worksheet>
</file>

<file path=xl/worksheets/sheet8.xml><?xml version="1.0" encoding="utf-8"?>
<worksheet xmlns="http://schemas.openxmlformats.org/spreadsheetml/2006/main" xmlns:r="http://schemas.openxmlformats.org/officeDocument/2006/relationships">
  <sheetPr codeName="Sheet8"/>
  <dimension ref="A1:C39"/>
  <sheetViews>
    <sheetView showGridLines="0" tabSelected="1" workbookViewId="0" topLeftCell="A1">
      <selection activeCell="B24" sqref="B24"/>
    </sheetView>
  </sheetViews>
  <sheetFormatPr defaultColWidth="9.140625" defaultRowHeight="12.75"/>
  <cols>
    <col min="1" max="1" width="8.57421875" style="0" customWidth="1"/>
    <col min="2" max="2" width="50.421875" style="0" customWidth="1"/>
    <col min="3" max="3" width="5.57421875" style="0" customWidth="1"/>
  </cols>
  <sheetData>
    <row r="1" spans="1:3" ht="12.75">
      <c r="A1" s="148" t="s">
        <v>10</v>
      </c>
      <c r="B1" s="148" t="s">
        <v>557</v>
      </c>
      <c r="C1" s="148" t="s">
        <v>133</v>
      </c>
    </row>
    <row r="2" spans="1:3" ht="12.75">
      <c r="A2" s="149">
        <v>10000</v>
      </c>
      <c r="B2" s="149" t="s">
        <v>558</v>
      </c>
      <c r="C2" s="149" t="s">
        <v>559</v>
      </c>
    </row>
    <row r="3" spans="1:3" ht="12.75">
      <c r="A3" s="149">
        <v>1500</v>
      </c>
      <c r="B3" s="150" t="s">
        <v>560</v>
      </c>
      <c r="C3" s="149" t="s">
        <v>559</v>
      </c>
    </row>
    <row r="4" spans="1:3" ht="12.75">
      <c r="A4" s="149">
        <v>9550</v>
      </c>
      <c r="B4" s="149" t="s">
        <v>561</v>
      </c>
      <c r="C4" s="151">
        <v>10</v>
      </c>
    </row>
    <row r="5" spans="1:3" ht="12.75">
      <c r="A5" s="149">
        <v>5000</v>
      </c>
      <c r="B5" s="149" t="s">
        <v>562</v>
      </c>
      <c r="C5" s="150" t="s">
        <v>559</v>
      </c>
    </row>
    <row r="6" spans="1:3" ht="12.75">
      <c r="A6" s="149">
        <v>3000</v>
      </c>
      <c r="B6" s="149" t="s">
        <v>563</v>
      </c>
      <c r="C6" s="150">
        <v>8</v>
      </c>
    </row>
    <row r="7" spans="1:3" ht="12.75">
      <c r="A7" s="149">
        <v>400</v>
      </c>
      <c r="B7" s="149" t="s">
        <v>564</v>
      </c>
      <c r="C7" s="149" t="s">
        <v>565</v>
      </c>
    </row>
    <row r="8" spans="1:3" ht="12.75">
      <c r="A8" s="149">
        <v>500</v>
      </c>
      <c r="B8" s="149" t="s">
        <v>566</v>
      </c>
      <c r="C8" s="149" t="s">
        <v>567</v>
      </c>
    </row>
    <row r="9" spans="1:3" ht="12.75">
      <c r="A9" s="149">
        <v>1000</v>
      </c>
      <c r="B9" s="152" t="s">
        <v>568</v>
      </c>
      <c r="C9" s="149" t="s">
        <v>569</v>
      </c>
    </row>
    <row r="10" spans="1:3" ht="12.75">
      <c r="A10" s="149">
        <v>4000</v>
      </c>
      <c r="B10" s="149" t="s">
        <v>570</v>
      </c>
      <c r="C10" s="149" t="s">
        <v>565</v>
      </c>
    </row>
    <row r="11" spans="1:3" ht="12.75">
      <c r="A11" s="149">
        <v>500</v>
      </c>
      <c r="B11" s="149" t="s">
        <v>571</v>
      </c>
      <c r="C11" s="149" t="s">
        <v>559</v>
      </c>
    </row>
    <row r="12" spans="1:3" ht="12.75">
      <c r="A12" s="149">
        <v>2000</v>
      </c>
      <c r="B12" s="149" t="s">
        <v>572</v>
      </c>
      <c r="C12" s="149" t="s">
        <v>559</v>
      </c>
    </row>
    <row r="13" spans="1:3" ht="12.75">
      <c r="A13" s="149">
        <v>8600</v>
      </c>
      <c r="B13" s="149" t="s">
        <v>573</v>
      </c>
      <c r="C13" s="149" t="s">
        <v>559</v>
      </c>
    </row>
    <row r="14" spans="1:3" ht="12.75">
      <c r="A14" s="149">
        <v>4050</v>
      </c>
      <c r="B14" s="149" t="s">
        <v>574</v>
      </c>
      <c r="C14" s="153">
        <v>12</v>
      </c>
    </row>
    <row r="15" spans="1:3" ht="12.75">
      <c r="A15" s="149">
        <v>600</v>
      </c>
      <c r="B15" s="149" t="s">
        <v>575</v>
      </c>
      <c r="C15" s="151">
        <v>8</v>
      </c>
    </row>
    <row r="16" spans="1:3" ht="12.75">
      <c r="A16" s="149">
        <v>700</v>
      </c>
      <c r="B16" s="149" t="s">
        <v>576</v>
      </c>
      <c r="C16" s="151">
        <v>2</v>
      </c>
    </row>
    <row r="17" spans="1:3" ht="12.75">
      <c r="A17" s="149">
        <v>600</v>
      </c>
      <c r="B17" s="149" t="s">
        <v>577</v>
      </c>
      <c r="C17" s="151">
        <v>4</v>
      </c>
    </row>
    <row r="18" spans="1:3" ht="12.75">
      <c r="A18" s="149">
        <v>1250</v>
      </c>
      <c r="B18" s="149" t="s">
        <v>578</v>
      </c>
      <c r="C18" s="151">
        <v>4</v>
      </c>
    </row>
    <row r="19" spans="1:3" ht="12.75">
      <c r="A19" s="149">
        <v>425</v>
      </c>
      <c r="B19" s="149" t="s">
        <v>579</v>
      </c>
      <c r="C19" s="151">
        <v>12</v>
      </c>
    </row>
    <row r="20" spans="1:3" ht="12.75">
      <c r="A20" s="149">
        <v>75</v>
      </c>
      <c r="B20" s="149" t="s">
        <v>580</v>
      </c>
      <c r="C20" s="151">
        <v>4</v>
      </c>
    </row>
    <row r="21" spans="1:3" ht="12.75">
      <c r="A21" s="149">
        <v>800</v>
      </c>
      <c r="B21" s="149" t="s">
        <v>581</v>
      </c>
      <c r="C21" s="151" t="s">
        <v>582</v>
      </c>
    </row>
    <row r="22" spans="1:3" ht="12.75">
      <c r="A22" s="149">
        <v>140</v>
      </c>
      <c r="B22" s="149" t="s">
        <v>583</v>
      </c>
      <c r="C22" s="151" t="s">
        <v>569</v>
      </c>
    </row>
    <row r="23" spans="1:3" ht="12.75">
      <c r="A23" s="149">
        <v>300</v>
      </c>
      <c r="B23" s="149" t="s">
        <v>584</v>
      </c>
      <c r="C23" s="151"/>
    </row>
    <row r="24" spans="1:3" ht="12.75">
      <c r="A24" s="149"/>
      <c r="B24" s="149"/>
      <c r="C24" s="151"/>
    </row>
    <row r="25" spans="1:3" ht="12.75">
      <c r="A25" s="149"/>
      <c r="B25" s="149"/>
      <c r="C25" s="151"/>
    </row>
    <row r="26" spans="1:3" ht="12.75">
      <c r="A26" s="149"/>
      <c r="B26" s="149"/>
      <c r="C26" s="151"/>
    </row>
    <row r="27" spans="1:3" ht="12.75">
      <c r="A27" s="149"/>
      <c r="B27" s="149"/>
      <c r="C27" s="151"/>
    </row>
    <row r="28" spans="1:3" ht="12.75">
      <c r="A28" s="149"/>
      <c r="B28" s="149"/>
      <c r="C28" s="151"/>
    </row>
    <row r="29" spans="1:3" ht="12.75">
      <c r="A29" s="149"/>
      <c r="B29" s="149"/>
      <c r="C29" s="151"/>
    </row>
    <row r="30" spans="1:3" ht="12.75">
      <c r="A30" s="149"/>
      <c r="B30" s="149"/>
      <c r="C30" s="151"/>
    </row>
    <row r="31" spans="1:3" ht="12.75">
      <c r="A31" s="149"/>
      <c r="B31" s="149"/>
      <c r="C31" s="151"/>
    </row>
    <row r="32" spans="1:3" ht="12.75">
      <c r="A32" s="149"/>
      <c r="B32" s="149"/>
      <c r="C32" s="151"/>
    </row>
    <row r="33" spans="1:3" ht="12.75">
      <c r="A33" s="149"/>
      <c r="B33" s="149"/>
      <c r="C33" s="151"/>
    </row>
    <row r="34" spans="1:3" ht="12.75">
      <c r="A34" s="149"/>
      <c r="B34" s="149"/>
      <c r="C34" s="151"/>
    </row>
    <row r="35" spans="1:3" ht="12.75">
      <c r="A35" s="149"/>
      <c r="B35" s="149"/>
      <c r="C35" s="151"/>
    </row>
    <row r="36" spans="1:3" ht="12.75">
      <c r="A36" s="149"/>
      <c r="B36" s="149"/>
      <c r="C36" s="151"/>
    </row>
    <row r="37" spans="1:2" ht="12.75">
      <c r="A37" s="154">
        <f>SUM(A2:A36)</f>
        <v>54990</v>
      </c>
      <c r="B37" s="67" t="s">
        <v>585</v>
      </c>
    </row>
    <row r="39" spans="1:2" ht="12.75">
      <c r="A39" s="155">
        <f>Main_Sheet!B4</f>
        <v>10</v>
      </c>
      <c r="B39" t="s">
        <v>586</v>
      </c>
    </row>
  </sheetData>
  <sheetProtection sheet="1" objects="1" scenarios="1"/>
  <printOptions/>
  <pageMargins left="0.7479166666666667" right="0.7479166666666667" top="0.9840277777777778" bottom="0.9840277777777778" header="0.5118055555555556" footer="0.5118055555555556"/>
  <pageSetup horizontalDpi="300" verticalDpi="300" orientation="portrait" paperSize="9"/>
</worksheet>
</file>

<file path=xl/worksheets/sheet9.xml><?xml version="1.0" encoding="utf-8"?>
<worksheet xmlns="http://schemas.openxmlformats.org/spreadsheetml/2006/main" xmlns:r="http://schemas.openxmlformats.org/officeDocument/2006/relationships">
  <sheetPr codeName="Sheet9"/>
  <dimension ref="A1:AG197"/>
  <sheetViews>
    <sheetView showGridLines="0" workbookViewId="0" topLeftCell="A1">
      <selection activeCell="A1" sqref="A1"/>
    </sheetView>
  </sheetViews>
  <sheetFormatPr defaultColWidth="9.140625" defaultRowHeight="12.75"/>
  <cols>
    <col min="1" max="1" width="20.8515625" style="79" customWidth="1"/>
    <col min="2" max="2" width="3.7109375" style="79" customWidth="1"/>
    <col min="3" max="3" width="0.9921875" style="156" customWidth="1"/>
    <col min="4" max="4" width="30.7109375" style="79" customWidth="1"/>
    <col min="5" max="5" width="5.00390625" style="79" customWidth="1"/>
    <col min="6" max="6" width="1.28515625" style="156" customWidth="1"/>
    <col min="7" max="7" width="16.8515625" style="79" customWidth="1"/>
    <col min="8" max="8" width="4.7109375" style="79" customWidth="1"/>
    <col min="9" max="9" width="1.28515625" style="156" customWidth="1"/>
    <col min="10" max="10" width="9.140625" style="79" customWidth="1"/>
    <col min="11" max="11" width="0.9921875" style="156" customWidth="1"/>
    <col min="12" max="12" width="7.57421875" style="79" customWidth="1"/>
    <col min="13" max="13" width="0.85546875" style="156" customWidth="1"/>
    <col min="14" max="14" width="13.28125" style="79" customWidth="1"/>
    <col min="15" max="15" width="0.85546875" style="156" customWidth="1"/>
    <col min="16" max="16" width="42.421875" style="79" customWidth="1"/>
    <col min="17" max="17" width="0.85546875" style="156" customWidth="1"/>
    <col min="18" max="18" width="13.8515625" style="79" customWidth="1"/>
    <col min="19" max="19" width="0.85546875" style="156" customWidth="1"/>
    <col min="20" max="20" width="13.8515625" style="79" customWidth="1"/>
    <col min="21" max="21" width="0.85546875" style="156" customWidth="1"/>
    <col min="22" max="22" width="8.00390625" style="79" customWidth="1"/>
    <col min="23" max="23" width="8.28125" style="79" customWidth="1"/>
    <col min="24" max="24" width="4.8515625" style="79" customWidth="1"/>
    <col min="25" max="25" width="0.85546875" style="156" customWidth="1"/>
    <col min="26" max="26" width="9.140625" style="157" customWidth="1"/>
    <col min="27" max="27" width="0.85546875" style="156" customWidth="1"/>
    <col min="28" max="28" width="13.8515625" style="79" customWidth="1"/>
    <col min="29" max="29" width="5.57421875" style="79" customWidth="1"/>
    <col min="30" max="30" width="6.00390625" style="79" customWidth="1"/>
    <col min="31" max="31" width="0.85546875" style="156" customWidth="1"/>
    <col min="32" max="32" width="30.7109375" style="79" customWidth="1"/>
    <col min="33" max="33" width="3.57421875" style="79" customWidth="1"/>
    <col min="34" max="16384" width="9.140625" style="79" customWidth="1"/>
  </cols>
  <sheetData>
    <row r="1" spans="1:33" ht="12.75">
      <c r="A1" s="67" t="s">
        <v>54</v>
      </c>
      <c r="B1" s="67" t="s">
        <v>587</v>
      </c>
      <c r="C1" s="158"/>
      <c r="D1" s="67" t="s">
        <v>588</v>
      </c>
      <c r="E1" s="67" t="s">
        <v>587</v>
      </c>
      <c r="F1" s="158"/>
      <c r="G1" s="67" t="s">
        <v>589</v>
      </c>
      <c r="H1" s="67" t="s">
        <v>587</v>
      </c>
      <c r="I1" s="158"/>
      <c r="J1" s="67" t="s">
        <v>9</v>
      </c>
      <c r="K1" s="158"/>
      <c r="L1" s="67" t="s">
        <v>328</v>
      </c>
      <c r="M1" s="158"/>
      <c r="N1" s="67" t="s">
        <v>590</v>
      </c>
      <c r="O1" s="158"/>
      <c r="P1" s="67" t="s">
        <v>591</v>
      </c>
      <c r="Q1" s="158"/>
      <c r="R1" s="67" t="s">
        <v>592</v>
      </c>
      <c r="S1" s="158"/>
      <c r="T1" s="67" t="s">
        <v>593</v>
      </c>
      <c r="U1" s="158"/>
      <c r="V1" s="67" t="s">
        <v>325</v>
      </c>
      <c r="W1" s="67" t="s">
        <v>49</v>
      </c>
      <c r="X1" s="67" t="s">
        <v>10</v>
      </c>
      <c r="Y1" s="158"/>
      <c r="Z1" s="147" t="s">
        <v>299</v>
      </c>
      <c r="AA1" s="158"/>
      <c r="AB1" s="67" t="s">
        <v>132</v>
      </c>
      <c r="AC1" s="67" t="s">
        <v>133</v>
      </c>
      <c r="AD1" s="67" t="s">
        <v>10</v>
      </c>
      <c r="AE1" s="158"/>
      <c r="AF1" s="67" t="s">
        <v>84</v>
      </c>
      <c r="AG1" s="67" t="s">
        <v>594</v>
      </c>
    </row>
    <row r="2" spans="1:33" ht="12.75">
      <c r="A2" s="79" t="s">
        <v>595</v>
      </c>
      <c r="B2" s="79" t="s">
        <v>596</v>
      </c>
      <c r="D2" s="79" t="s">
        <v>597</v>
      </c>
      <c r="E2" s="79" t="s">
        <v>598</v>
      </c>
      <c r="G2" s="79" t="s">
        <v>95</v>
      </c>
      <c r="H2" s="79" t="s">
        <v>599</v>
      </c>
      <c r="J2" s="79" t="s">
        <v>600</v>
      </c>
      <c r="L2" s="79">
        <v>0</v>
      </c>
      <c r="N2" s="79" t="s">
        <v>601</v>
      </c>
      <c r="R2" s="79" t="s">
        <v>602</v>
      </c>
      <c r="T2" s="79" t="s">
        <v>603</v>
      </c>
      <c r="V2" s="79" t="s">
        <v>604</v>
      </c>
      <c r="W2" s="79">
        <v>1</v>
      </c>
      <c r="X2" s="79">
        <v>1</v>
      </c>
      <c r="Z2" s="157">
        <v>1</v>
      </c>
      <c r="AB2" s="79" t="s">
        <v>605</v>
      </c>
      <c r="AC2" s="79">
        <v>4</v>
      </c>
      <c r="AD2" s="79">
        <v>15000</v>
      </c>
      <c r="AF2" s="67" t="s">
        <v>87</v>
      </c>
      <c r="AG2" s="67" t="s">
        <v>606</v>
      </c>
    </row>
    <row r="3" spans="1:33" ht="12.75">
      <c r="A3" s="79" t="s">
        <v>607</v>
      </c>
      <c r="B3" s="79" t="s">
        <v>596</v>
      </c>
      <c r="D3" s="79" t="s">
        <v>608</v>
      </c>
      <c r="E3" s="79" t="s">
        <v>598</v>
      </c>
      <c r="G3" s="79" t="s">
        <v>609</v>
      </c>
      <c r="H3" s="79" t="s">
        <v>599</v>
      </c>
      <c r="J3" s="79" t="s">
        <v>1</v>
      </c>
      <c r="L3" s="159">
        <v>5000</v>
      </c>
      <c r="N3" s="79" t="s">
        <v>12</v>
      </c>
      <c r="P3" s="79" t="s">
        <v>610</v>
      </c>
      <c r="R3" s="79" t="s">
        <v>611</v>
      </c>
      <c r="T3" s="79" t="s">
        <v>612</v>
      </c>
      <c r="V3" s="79" t="s">
        <v>613</v>
      </c>
      <c r="W3" s="79">
        <v>0.8</v>
      </c>
      <c r="X3" s="79">
        <v>2</v>
      </c>
      <c r="Z3" s="157">
        <v>2</v>
      </c>
      <c r="AB3" s="79" t="s">
        <v>614</v>
      </c>
      <c r="AC3" s="79">
        <v>4</v>
      </c>
      <c r="AD3" s="79">
        <v>5000</v>
      </c>
      <c r="AF3" t="s">
        <v>615</v>
      </c>
      <c r="AG3">
        <v>5</v>
      </c>
    </row>
    <row r="4" spans="1:33" ht="12.75">
      <c r="A4" s="79" t="s">
        <v>616</v>
      </c>
      <c r="B4" s="79" t="s">
        <v>596</v>
      </c>
      <c r="D4" s="79" t="s">
        <v>617</v>
      </c>
      <c r="E4" s="79" t="s">
        <v>598</v>
      </c>
      <c r="G4" s="79" t="s">
        <v>618</v>
      </c>
      <c r="H4" s="79" t="s">
        <v>599</v>
      </c>
      <c r="J4" s="79" t="s">
        <v>619</v>
      </c>
      <c r="L4" s="159">
        <v>10000</v>
      </c>
      <c r="N4" s="79" t="s">
        <v>620</v>
      </c>
      <c r="P4" s="79" t="s">
        <v>621</v>
      </c>
      <c r="R4" s="79" t="s">
        <v>622</v>
      </c>
      <c r="T4" s="79" t="s">
        <v>623</v>
      </c>
      <c r="V4" s="79" t="s">
        <v>624</v>
      </c>
      <c r="W4" s="79">
        <v>0.7</v>
      </c>
      <c r="X4" s="79">
        <v>4</v>
      </c>
      <c r="Z4" s="157">
        <v>3</v>
      </c>
      <c r="AB4" s="79" t="s">
        <v>625</v>
      </c>
      <c r="AC4" s="79">
        <v>4</v>
      </c>
      <c r="AD4" s="79">
        <v>10000</v>
      </c>
      <c r="AF4" t="s">
        <v>626</v>
      </c>
      <c r="AG4">
        <v>10</v>
      </c>
    </row>
    <row r="5" spans="1:33" ht="12.75">
      <c r="A5" s="79" t="s">
        <v>627</v>
      </c>
      <c r="B5" s="79" t="s">
        <v>596</v>
      </c>
      <c r="D5" s="79" t="s">
        <v>60</v>
      </c>
      <c r="E5" s="79" t="s">
        <v>598</v>
      </c>
      <c r="G5" s="79" t="s">
        <v>628</v>
      </c>
      <c r="H5" s="79" t="s">
        <v>599</v>
      </c>
      <c r="J5" s="79" t="s">
        <v>629</v>
      </c>
      <c r="L5" s="159">
        <v>15000</v>
      </c>
      <c r="N5" s="79" t="s">
        <v>630</v>
      </c>
      <c r="P5" s="79" t="s">
        <v>631</v>
      </c>
      <c r="R5" s="79" t="s">
        <v>632</v>
      </c>
      <c r="T5" s="79" t="s">
        <v>633</v>
      </c>
      <c r="V5" s="79" t="s">
        <v>634</v>
      </c>
      <c r="W5" s="79">
        <v>0.5</v>
      </c>
      <c r="X5" s="79">
        <v>10</v>
      </c>
      <c r="Z5" s="157">
        <v>4</v>
      </c>
      <c r="AB5" s="79" t="s">
        <v>635</v>
      </c>
      <c r="AC5" s="79">
        <v>4</v>
      </c>
      <c r="AD5" s="79">
        <v>15000</v>
      </c>
      <c r="AF5" t="s">
        <v>636</v>
      </c>
      <c r="AG5">
        <v>10</v>
      </c>
    </row>
    <row r="6" spans="1:33" ht="12.75">
      <c r="A6" s="79" t="s">
        <v>637</v>
      </c>
      <c r="B6" s="79" t="s">
        <v>596</v>
      </c>
      <c r="D6" s="79" t="s">
        <v>638</v>
      </c>
      <c r="E6" s="79" t="s">
        <v>598</v>
      </c>
      <c r="G6" s="79" t="s">
        <v>639</v>
      </c>
      <c r="H6" s="79" t="s">
        <v>599</v>
      </c>
      <c r="J6" s="79" t="s">
        <v>640</v>
      </c>
      <c r="L6" s="159">
        <v>20000</v>
      </c>
      <c r="N6" s="79" t="s">
        <v>641</v>
      </c>
      <c r="P6" s="79" t="s">
        <v>642</v>
      </c>
      <c r="R6" s="79" t="s">
        <v>643</v>
      </c>
      <c r="T6" s="79" t="s">
        <v>644</v>
      </c>
      <c r="Z6" s="157">
        <v>5</v>
      </c>
      <c r="AB6" s="79" t="s">
        <v>645</v>
      </c>
      <c r="AC6" s="79">
        <v>4</v>
      </c>
      <c r="AD6" s="79">
        <v>5000</v>
      </c>
      <c r="AF6" t="s">
        <v>646</v>
      </c>
      <c r="AG6">
        <v>5</v>
      </c>
    </row>
    <row r="7" spans="1:33" ht="12.75">
      <c r="A7" s="79" t="s">
        <v>647</v>
      </c>
      <c r="B7" s="79" t="s">
        <v>596</v>
      </c>
      <c r="D7" s="79" t="s">
        <v>648</v>
      </c>
      <c r="E7" s="79" t="s">
        <v>598</v>
      </c>
      <c r="G7" s="79" t="s">
        <v>649</v>
      </c>
      <c r="H7" s="79" t="s">
        <v>599</v>
      </c>
      <c r="L7" s="159">
        <v>25000</v>
      </c>
      <c r="P7" s="79" t="s">
        <v>650</v>
      </c>
      <c r="R7" s="79" t="s">
        <v>651</v>
      </c>
      <c r="Z7" s="157">
        <v>6</v>
      </c>
      <c r="AB7" s="79" t="s">
        <v>652</v>
      </c>
      <c r="AC7" s="79">
        <v>4</v>
      </c>
      <c r="AD7" s="79">
        <v>10000</v>
      </c>
      <c r="AF7" t="s">
        <v>653</v>
      </c>
      <c r="AG7">
        <v>5</v>
      </c>
    </row>
    <row r="8" spans="1:33" ht="12.75">
      <c r="A8" s="79" t="s">
        <v>654</v>
      </c>
      <c r="B8" s="79" t="s">
        <v>596</v>
      </c>
      <c r="D8" s="79" t="s">
        <v>62</v>
      </c>
      <c r="E8" s="79" t="s">
        <v>598</v>
      </c>
      <c r="G8" s="79" t="s">
        <v>655</v>
      </c>
      <c r="H8" s="79" t="s">
        <v>599</v>
      </c>
      <c r="L8" s="159">
        <v>30000</v>
      </c>
      <c r="P8" s="79" t="s">
        <v>656</v>
      </c>
      <c r="R8" s="79" t="s">
        <v>657</v>
      </c>
      <c r="AB8" s="79" t="s">
        <v>658</v>
      </c>
      <c r="AC8" s="79">
        <v>5</v>
      </c>
      <c r="AD8" s="79">
        <v>10000</v>
      </c>
      <c r="AF8" t="s">
        <v>659</v>
      </c>
      <c r="AG8">
        <v>10</v>
      </c>
    </row>
    <row r="9" spans="1:33" ht="12.75">
      <c r="A9" s="79" t="s">
        <v>56</v>
      </c>
      <c r="B9" s="79" t="s">
        <v>596</v>
      </c>
      <c r="D9" s="79" t="s">
        <v>660</v>
      </c>
      <c r="E9" s="79" t="s">
        <v>598</v>
      </c>
      <c r="G9" s="79" t="s">
        <v>661</v>
      </c>
      <c r="H9" s="79" t="s">
        <v>599</v>
      </c>
      <c r="L9" s="159">
        <v>35000</v>
      </c>
      <c r="P9" s="79" t="s">
        <v>662</v>
      </c>
      <c r="R9" s="79" t="s">
        <v>663</v>
      </c>
      <c r="AB9" s="79" t="s">
        <v>131</v>
      </c>
      <c r="AC9" s="79">
        <v>5</v>
      </c>
      <c r="AD9" s="79">
        <v>25000</v>
      </c>
      <c r="AF9" t="s">
        <v>664</v>
      </c>
      <c r="AG9">
        <v>10</v>
      </c>
    </row>
    <row r="10" spans="1:33" ht="12.75">
      <c r="A10" s="79" t="s">
        <v>665</v>
      </c>
      <c r="B10" s="79" t="s">
        <v>596</v>
      </c>
      <c r="D10" s="79" t="s">
        <v>666</v>
      </c>
      <c r="E10" s="79" t="s">
        <v>598</v>
      </c>
      <c r="G10" s="79" t="s">
        <v>667</v>
      </c>
      <c r="H10" s="79" t="s">
        <v>599</v>
      </c>
      <c r="L10" s="159">
        <v>40000</v>
      </c>
      <c r="P10" s="79" t="s">
        <v>668</v>
      </c>
      <c r="R10" s="79" t="s">
        <v>669</v>
      </c>
      <c r="AF10" t="s">
        <v>670</v>
      </c>
      <c r="AG10">
        <v>5</v>
      </c>
    </row>
    <row r="11" spans="1:33" ht="12.75">
      <c r="A11" s="79" t="s">
        <v>671</v>
      </c>
      <c r="B11" s="79" t="s">
        <v>596</v>
      </c>
      <c r="D11" s="79" t="s">
        <v>672</v>
      </c>
      <c r="E11" s="79" t="s">
        <v>598</v>
      </c>
      <c r="G11" s="79" t="s">
        <v>673</v>
      </c>
      <c r="H11" s="79" t="s">
        <v>599</v>
      </c>
      <c r="L11" s="159">
        <v>45000</v>
      </c>
      <c r="P11" s="79" t="s">
        <v>674</v>
      </c>
      <c r="R11" s="79" t="s">
        <v>675</v>
      </c>
      <c r="AF11" t="s">
        <v>676</v>
      </c>
      <c r="AG11">
        <v>20</v>
      </c>
    </row>
    <row r="12" spans="1:33" ht="12.75">
      <c r="A12" s="79" t="s">
        <v>677</v>
      </c>
      <c r="B12" s="79" t="s">
        <v>596</v>
      </c>
      <c r="D12" s="79" t="s">
        <v>678</v>
      </c>
      <c r="E12" s="79" t="s">
        <v>598</v>
      </c>
      <c r="G12" s="79" t="s">
        <v>679</v>
      </c>
      <c r="H12" s="79" t="s">
        <v>599</v>
      </c>
      <c r="L12" s="159">
        <v>50000</v>
      </c>
      <c r="P12" s="79" t="s">
        <v>680</v>
      </c>
      <c r="R12" s="79" t="s">
        <v>681</v>
      </c>
      <c r="AF12" t="s">
        <v>682</v>
      </c>
      <c r="AG12">
        <v>20</v>
      </c>
    </row>
    <row r="13" spans="1:33" ht="12.75">
      <c r="A13" s="79" t="s">
        <v>683</v>
      </c>
      <c r="B13" s="79" t="s">
        <v>596</v>
      </c>
      <c r="D13" s="79" t="s">
        <v>684</v>
      </c>
      <c r="E13" s="79" t="s">
        <v>598</v>
      </c>
      <c r="G13" s="79" t="s">
        <v>90</v>
      </c>
      <c r="H13" s="79" t="s">
        <v>599</v>
      </c>
      <c r="L13" s="159">
        <v>55000</v>
      </c>
      <c r="P13" s="79" t="s">
        <v>685</v>
      </c>
      <c r="AF13" t="s">
        <v>686</v>
      </c>
      <c r="AG13">
        <v>20</v>
      </c>
    </row>
    <row r="14" spans="1:33" ht="12.75">
      <c r="A14" s="79" t="s">
        <v>687</v>
      </c>
      <c r="B14" s="79" t="s">
        <v>596</v>
      </c>
      <c r="D14" s="79" t="s">
        <v>688</v>
      </c>
      <c r="E14" s="79" t="s">
        <v>598</v>
      </c>
      <c r="G14" s="79" t="s">
        <v>689</v>
      </c>
      <c r="H14" s="79" t="s">
        <v>599</v>
      </c>
      <c r="L14" s="159">
        <v>60000</v>
      </c>
      <c r="P14" s="79" t="s">
        <v>690</v>
      </c>
      <c r="AF14" t="s">
        <v>691</v>
      </c>
      <c r="AG14">
        <v>20</v>
      </c>
    </row>
    <row r="15" spans="1:33" ht="12.75">
      <c r="A15" s="79" t="s">
        <v>692</v>
      </c>
      <c r="B15" s="79" t="s">
        <v>693</v>
      </c>
      <c r="D15" s="79" t="s">
        <v>694</v>
      </c>
      <c r="E15" s="79" t="s">
        <v>598</v>
      </c>
      <c r="G15" s="79" t="s">
        <v>695</v>
      </c>
      <c r="H15" s="79" t="s">
        <v>599</v>
      </c>
      <c r="L15" s="159">
        <v>65000</v>
      </c>
      <c r="P15" s="79" t="s">
        <v>696</v>
      </c>
      <c r="AF15" t="s">
        <v>697</v>
      </c>
      <c r="AG15">
        <v>20</v>
      </c>
    </row>
    <row r="16" spans="1:33" ht="12.75">
      <c r="A16" s="79" t="s">
        <v>698</v>
      </c>
      <c r="B16" s="79" t="s">
        <v>693</v>
      </c>
      <c r="D16" s="79" t="s">
        <v>699</v>
      </c>
      <c r="E16" s="79" t="s">
        <v>598</v>
      </c>
      <c r="G16" s="79" t="s">
        <v>700</v>
      </c>
      <c r="H16" s="79" t="s">
        <v>599</v>
      </c>
      <c r="L16" s="159">
        <v>70000</v>
      </c>
      <c r="P16" s="79" t="s">
        <v>701</v>
      </c>
      <c r="AF16" t="s">
        <v>702</v>
      </c>
      <c r="AG16">
        <v>20</v>
      </c>
    </row>
    <row r="17" spans="1:33" ht="12.75">
      <c r="A17" s="79" t="s">
        <v>703</v>
      </c>
      <c r="B17" s="79" t="s">
        <v>693</v>
      </c>
      <c r="D17" s="79" t="s">
        <v>704</v>
      </c>
      <c r="E17" s="79" t="s">
        <v>598</v>
      </c>
      <c r="G17" s="79" t="s">
        <v>100</v>
      </c>
      <c r="H17" s="79" t="s">
        <v>599</v>
      </c>
      <c r="L17" s="159">
        <v>75000</v>
      </c>
      <c r="P17" s="79" t="s">
        <v>705</v>
      </c>
      <c r="AF17" t="s">
        <v>706</v>
      </c>
      <c r="AG17">
        <v>20</v>
      </c>
    </row>
    <row r="18" spans="1:33" ht="12.75">
      <c r="A18" s="79" t="s">
        <v>707</v>
      </c>
      <c r="B18" s="79" t="s">
        <v>693</v>
      </c>
      <c r="D18" s="79" t="s">
        <v>708</v>
      </c>
      <c r="E18" s="79" t="s">
        <v>598</v>
      </c>
      <c r="G18" s="79" t="s">
        <v>709</v>
      </c>
      <c r="H18" s="79" t="s">
        <v>599</v>
      </c>
      <c r="L18" s="159">
        <v>80000</v>
      </c>
      <c r="P18" s="79" t="s">
        <v>710</v>
      </c>
      <c r="AF18" t="s">
        <v>711</v>
      </c>
      <c r="AG18">
        <v>20</v>
      </c>
    </row>
    <row r="19" spans="1:33" ht="12.75">
      <c r="A19" s="79" t="s">
        <v>712</v>
      </c>
      <c r="B19" s="79" t="s">
        <v>693</v>
      </c>
      <c r="D19" s="79" t="s">
        <v>713</v>
      </c>
      <c r="E19" s="79" t="s">
        <v>598</v>
      </c>
      <c r="G19" s="79" t="s">
        <v>714</v>
      </c>
      <c r="H19" s="79" t="s">
        <v>599</v>
      </c>
      <c r="L19" s="159">
        <v>85000</v>
      </c>
      <c r="P19" s="79" t="s">
        <v>715</v>
      </c>
      <c r="AF19" t="s">
        <v>716</v>
      </c>
      <c r="AG19">
        <v>5</v>
      </c>
    </row>
    <row r="20" spans="1:33" ht="12.75">
      <c r="A20" s="79" t="s">
        <v>717</v>
      </c>
      <c r="B20" s="79" t="s">
        <v>693</v>
      </c>
      <c r="D20" s="79" t="s">
        <v>718</v>
      </c>
      <c r="E20" s="79" t="s">
        <v>598</v>
      </c>
      <c r="G20" s="79" t="s">
        <v>719</v>
      </c>
      <c r="H20" s="79" t="s">
        <v>599</v>
      </c>
      <c r="L20" s="159">
        <v>90000</v>
      </c>
      <c r="P20" s="79" t="s">
        <v>720</v>
      </c>
      <c r="AF20" t="s">
        <v>88</v>
      </c>
      <c r="AG20">
        <v>5</v>
      </c>
    </row>
    <row r="21" spans="1:33" ht="12.75">
      <c r="A21" s="79" t="s">
        <v>721</v>
      </c>
      <c r="B21" s="79" t="s">
        <v>693</v>
      </c>
      <c r="D21" s="79" t="s">
        <v>722</v>
      </c>
      <c r="E21" s="79" t="s">
        <v>598</v>
      </c>
      <c r="G21" s="79" t="s">
        <v>723</v>
      </c>
      <c r="H21" s="79" t="s">
        <v>599</v>
      </c>
      <c r="L21" s="159">
        <v>95000</v>
      </c>
      <c r="P21" s="79" t="s">
        <v>724</v>
      </c>
      <c r="AF21" t="s">
        <v>725</v>
      </c>
      <c r="AG21">
        <v>10</v>
      </c>
    </row>
    <row r="22" spans="1:33" ht="12.75">
      <c r="A22" s="79" t="s">
        <v>726</v>
      </c>
      <c r="B22" s="79" t="s">
        <v>693</v>
      </c>
      <c r="D22" s="79" t="s">
        <v>727</v>
      </c>
      <c r="E22" s="79" t="s">
        <v>598</v>
      </c>
      <c r="G22" s="79" t="s">
        <v>728</v>
      </c>
      <c r="H22" s="79" t="s">
        <v>599</v>
      </c>
      <c r="L22" s="159">
        <v>100000</v>
      </c>
      <c r="P22" s="79" t="s">
        <v>729</v>
      </c>
      <c r="AF22" t="s">
        <v>730</v>
      </c>
      <c r="AG22">
        <v>20</v>
      </c>
    </row>
    <row r="23" spans="1:33" ht="12.75">
      <c r="A23" s="79" t="s">
        <v>731</v>
      </c>
      <c r="B23" s="79" t="s">
        <v>693</v>
      </c>
      <c r="D23" s="79" t="s">
        <v>732</v>
      </c>
      <c r="E23" s="79" t="s">
        <v>598</v>
      </c>
      <c r="G23" s="79" t="s">
        <v>733</v>
      </c>
      <c r="H23" s="79" t="s">
        <v>599</v>
      </c>
      <c r="L23" s="159">
        <v>105000</v>
      </c>
      <c r="P23" s="79" t="s">
        <v>734</v>
      </c>
      <c r="AF23" t="s">
        <v>735</v>
      </c>
      <c r="AG23">
        <v>5</v>
      </c>
    </row>
    <row r="24" spans="1:33" ht="12.75">
      <c r="A24" s="79" t="s">
        <v>645</v>
      </c>
      <c r="B24" s="79" t="s">
        <v>693</v>
      </c>
      <c r="D24" s="79" t="s">
        <v>736</v>
      </c>
      <c r="E24" s="79" t="s">
        <v>598</v>
      </c>
      <c r="G24" s="79" t="s">
        <v>737</v>
      </c>
      <c r="H24" s="79" t="s">
        <v>599</v>
      </c>
      <c r="L24" s="159">
        <v>110000</v>
      </c>
      <c r="P24" s="79" t="s">
        <v>738</v>
      </c>
      <c r="AF24" t="s">
        <v>739</v>
      </c>
      <c r="AG24">
        <v>5</v>
      </c>
    </row>
    <row r="25" spans="1:33" ht="12.75">
      <c r="A25" s="79" t="s">
        <v>652</v>
      </c>
      <c r="B25" s="79" t="s">
        <v>693</v>
      </c>
      <c r="D25" s="79" t="s">
        <v>740</v>
      </c>
      <c r="E25" s="79" t="s">
        <v>598</v>
      </c>
      <c r="G25" s="79" t="s">
        <v>92</v>
      </c>
      <c r="H25" s="79" t="s">
        <v>599</v>
      </c>
      <c r="L25" s="159">
        <v>115000</v>
      </c>
      <c r="P25" s="79" t="s">
        <v>741</v>
      </c>
      <c r="AF25" t="s">
        <v>742</v>
      </c>
      <c r="AG25">
        <v>10</v>
      </c>
    </row>
    <row r="26" spans="1:33" ht="12.75">
      <c r="A26" s="79" t="s">
        <v>743</v>
      </c>
      <c r="B26" s="79" t="s">
        <v>693</v>
      </c>
      <c r="D26" s="79" t="s">
        <v>744</v>
      </c>
      <c r="E26" s="79" t="s">
        <v>598</v>
      </c>
      <c r="G26" s="79" t="s">
        <v>745</v>
      </c>
      <c r="H26" s="79" t="s">
        <v>599</v>
      </c>
      <c r="L26" s="159">
        <v>120000</v>
      </c>
      <c r="P26" s="79" t="s">
        <v>746</v>
      </c>
      <c r="AF26" t="s">
        <v>747</v>
      </c>
      <c r="AG26">
        <v>15</v>
      </c>
    </row>
    <row r="27" spans="1:33" ht="12.75">
      <c r="A27" s="79" t="s">
        <v>748</v>
      </c>
      <c r="B27" s="79" t="s">
        <v>693</v>
      </c>
      <c r="D27" s="79" t="s">
        <v>749</v>
      </c>
      <c r="E27" s="79" t="s">
        <v>598</v>
      </c>
      <c r="G27" s="79" t="s">
        <v>750</v>
      </c>
      <c r="H27" s="79" t="s">
        <v>599</v>
      </c>
      <c r="L27" s="159">
        <v>125000</v>
      </c>
      <c r="P27" s="79" t="s">
        <v>751</v>
      </c>
      <c r="AF27" t="s">
        <v>752</v>
      </c>
      <c r="AG27">
        <v>10</v>
      </c>
    </row>
    <row r="28" spans="1:33" ht="12.75">
      <c r="A28" s="79" t="s">
        <v>753</v>
      </c>
      <c r="B28" s="79" t="s">
        <v>693</v>
      </c>
      <c r="D28" s="79" t="s">
        <v>754</v>
      </c>
      <c r="E28" s="79" t="s">
        <v>598</v>
      </c>
      <c r="G28" s="79" t="s">
        <v>755</v>
      </c>
      <c r="H28" s="79" t="s">
        <v>599</v>
      </c>
      <c r="L28" s="159">
        <v>130000</v>
      </c>
      <c r="P28" s="79" t="s">
        <v>756</v>
      </c>
      <c r="AF28" t="s">
        <v>757</v>
      </c>
      <c r="AG28">
        <v>5</v>
      </c>
    </row>
    <row r="29" spans="1:33" ht="12.75">
      <c r="A29" s="79" t="s">
        <v>758</v>
      </c>
      <c r="B29" s="79" t="s">
        <v>693</v>
      </c>
      <c r="D29" s="79" t="s">
        <v>759</v>
      </c>
      <c r="E29" s="79" t="s">
        <v>598</v>
      </c>
      <c r="G29" s="79" t="s">
        <v>760</v>
      </c>
      <c r="H29" s="79" t="s">
        <v>599</v>
      </c>
      <c r="L29" s="159">
        <v>135000</v>
      </c>
      <c r="P29" s="79" t="s">
        <v>761</v>
      </c>
      <c r="AF29" t="s">
        <v>762</v>
      </c>
      <c r="AG29">
        <v>5</v>
      </c>
    </row>
    <row r="30" spans="1:33" ht="12.75">
      <c r="A30" s="79" t="s">
        <v>763</v>
      </c>
      <c r="B30" s="79" t="s">
        <v>693</v>
      </c>
      <c r="D30" s="79" t="s">
        <v>764</v>
      </c>
      <c r="E30" s="79" t="s">
        <v>598</v>
      </c>
      <c r="G30" s="79" t="s">
        <v>765</v>
      </c>
      <c r="H30" s="79" t="s">
        <v>599</v>
      </c>
      <c r="L30" s="159">
        <v>140000</v>
      </c>
      <c r="P30" s="79" t="s">
        <v>766</v>
      </c>
      <c r="AF30" t="s">
        <v>767</v>
      </c>
      <c r="AG30">
        <v>20</v>
      </c>
    </row>
    <row r="31" spans="1:33" ht="12.75">
      <c r="A31" s="79" t="s">
        <v>768</v>
      </c>
      <c r="B31" s="79" t="s">
        <v>693</v>
      </c>
      <c r="D31" s="79" t="s">
        <v>769</v>
      </c>
      <c r="E31" s="79" t="s">
        <v>598</v>
      </c>
      <c r="G31" s="79" t="s">
        <v>770</v>
      </c>
      <c r="H31" s="79" t="s">
        <v>599</v>
      </c>
      <c r="L31" s="159">
        <v>145000</v>
      </c>
      <c r="P31" s="79" t="s">
        <v>771</v>
      </c>
      <c r="AF31" t="s">
        <v>772</v>
      </c>
      <c r="AG31">
        <v>5</v>
      </c>
    </row>
    <row r="32" spans="1:33" ht="12.75">
      <c r="A32" s="79" t="s">
        <v>773</v>
      </c>
      <c r="B32" s="79" t="s">
        <v>693</v>
      </c>
      <c r="D32" s="79" t="s">
        <v>774</v>
      </c>
      <c r="E32" s="79" t="s">
        <v>598</v>
      </c>
      <c r="G32" s="79" t="s">
        <v>775</v>
      </c>
      <c r="H32" s="79" t="s">
        <v>599</v>
      </c>
      <c r="L32" s="159">
        <v>150000</v>
      </c>
      <c r="P32" s="79" t="s">
        <v>776</v>
      </c>
      <c r="AF32" t="s">
        <v>777</v>
      </c>
      <c r="AG32">
        <v>10</v>
      </c>
    </row>
    <row r="33" spans="1:33" ht="12.75">
      <c r="A33" s="79" t="s">
        <v>614</v>
      </c>
      <c r="B33" s="79" t="s">
        <v>693</v>
      </c>
      <c r="D33" s="79" t="s">
        <v>778</v>
      </c>
      <c r="E33" s="79" t="s">
        <v>598</v>
      </c>
      <c r="G33" s="79" t="s">
        <v>779</v>
      </c>
      <c r="H33" s="79" t="s">
        <v>599</v>
      </c>
      <c r="L33" s="159">
        <v>155000</v>
      </c>
      <c r="P33" s="79" t="s">
        <v>780</v>
      </c>
      <c r="AC33" s="79" t="s">
        <v>781</v>
      </c>
      <c r="AF33" t="s">
        <v>782</v>
      </c>
      <c r="AG33">
        <v>15</v>
      </c>
    </row>
    <row r="34" spans="1:33" ht="12.75">
      <c r="A34" s="79" t="s">
        <v>783</v>
      </c>
      <c r="B34" s="79" t="s">
        <v>693</v>
      </c>
      <c r="D34" s="79" t="s">
        <v>784</v>
      </c>
      <c r="E34" s="79" t="s">
        <v>598</v>
      </c>
      <c r="G34" s="79" t="s">
        <v>785</v>
      </c>
      <c r="H34" s="79" t="s">
        <v>599</v>
      </c>
      <c r="L34" s="159">
        <v>160000</v>
      </c>
      <c r="AF34" t="s">
        <v>786</v>
      </c>
      <c r="AG34">
        <v>20</v>
      </c>
    </row>
    <row r="35" spans="1:33" ht="12.75">
      <c r="A35" s="79" t="s">
        <v>787</v>
      </c>
      <c r="B35" s="79" t="s">
        <v>693</v>
      </c>
      <c r="D35" s="79" t="s">
        <v>788</v>
      </c>
      <c r="E35" s="79" t="s">
        <v>598</v>
      </c>
      <c r="G35" s="79" t="s">
        <v>789</v>
      </c>
      <c r="H35" s="79" t="s">
        <v>599</v>
      </c>
      <c r="L35" s="159">
        <v>165000</v>
      </c>
      <c r="P35" s="79" t="s">
        <v>790</v>
      </c>
      <c r="AF35" t="s">
        <v>791</v>
      </c>
      <c r="AG35">
        <v>5</v>
      </c>
    </row>
    <row r="36" spans="1:33" ht="12.75">
      <c r="A36" s="79" t="s">
        <v>792</v>
      </c>
      <c r="B36" s="79" t="s">
        <v>693</v>
      </c>
      <c r="D36" s="79" t="s">
        <v>793</v>
      </c>
      <c r="E36" s="79" t="s">
        <v>598</v>
      </c>
      <c r="G36" s="79" t="s">
        <v>794</v>
      </c>
      <c r="H36" s="79" t="s">
        <v>599</v>
      </c>
      <c r="L36" s="159">
        <v>170000</v>
      </c>
      <c r="P36" s="79" t="s">
        <v>795</v>
      </c>
      <c r="AF36" t="s">
        <v>796</v>
      </c>
      <c r="AG36">
        <v>10</v>
      </c>
    </row>
    <row r="37" spans="1:33" ht="12.75">
      <c r="A37" s="79" t="s">
        <v>797</v>
      </c>
      <c r="B37" s="79" t="s">
        <v>693</v>
      </c>
      <c r="D37" s="79" t="s">
        <v>798</v>
      </c>
      <c r="E37" s="79" t="s">
        <v>598</v>
      </c>
      <c r="G37" s="79" t="s">
        <v>98</v>
      </c>
      <c r="H37" s="79" t="s">
        <v>599</v>
      </c>
      <c r="L37" s="159">
        <v>175000</v>
      </c>
      <c r="P37" s="79" t="s">
        <v>799</v>
      </c>
      <c r="AF37" t="s">
        <v>800</v>
      </c>
      <c r="AG37">
        <v>10</v>
      </c>
    </row>
    <row r="38" spans="1:33" ht="12.75">
      <c r="A38" s="79" t="s">
        <v>801</v>
      </c>
      <c r="B38" s="79" t="s">
        <v>693</v>
      </c>
      <c r="D38" s="79" t="s">
        <v>802</v>
      </c>
      <c r="E38" s="79" t="s">
        <v>598</v>
      </c>
      <c r="G38" s="79" t="s">
        <v>803</v>
      </c>
      <c r="H38" s="79" t="s">
        <v>599</v>
      </c>
      <c r="L38" s="159">
        <v>180000</v>
      </c>
      <c r="P38" s="79" t="s">
        <v>804</v>
      </c>
      <c r="AF38" t="s">
        <v>805</v>
      </c>
      <c r="AG38">
        <v>5</v>
      </c>
    </row>
    <row r="39" spans="1:33" ht="12.75">
      <c r="A39" s="79" t="s">
        <v>806</v>
      </c>
      <c r="B39" s="79" t="s">
        <v>693</v>
      </c>
      <c r="D39" s="79" t="s">
        <v>807</v>
      </c>
      <c r="E39" s="79" t="s">
        <v>598</v>
      </c>
      <c r="G39" s="79" t="s">
        <v>808</v>
      </c>
      <c r="H39" s="79" t="s">
        <v>599</v>
      </c>
      <c r="L39" s="159">
        <v>185000</v>
      </c>
      <c r="P39" s="79" t="s">
        <v>809</v>
      </c>
      <c r="AF39" t="s">
        <v>810</v>
      </c>
      <c r="AG39">
        <v>15</v>
      </c>
    </row>
    <row r="40" spans="1:33" ht="12.75">
      <c r="A40" s="79" t="s">
        <v>811</v>
      </c>
      <c r="B40" s="79" t="s">
        <v>693</v>
      </c>
      <c r="D40" s="79" t="s">
        <v>812</v>
      </c>
      <c r="E40" s="79" t="s">
        <v>598</v>
      </c>
      <c r="G40" s="79" t="s">
        <v>813</v>
      </c>
      <c r="H40" s="79" t="s">
        <v>599</v>
      </c>
      <c r="L40" s="159">
        <v>190000</v>
      </c>
      <c r="P40" s="79" t="s">
        <v>814</v>
      </c>
      <c r="AF40" t="s">
        <v>815</v>
      </c>
      <c r="AG40">
        <v>10</v>
      </c>
    </row>
    <row r="41" spans="1:33" ht="12.75">
      <c r="A41" s="79" t="s">
        <v>64</v>
      </c>
      <c r="B41" s="79" t="s">
        <v>693</v>
      </c>
      <c r="D41" s="79" t="s">
        <v>816</v>
      </c>
      <c r="E41" s="79" t="s">
        <v>598</v>
      </c>
      <c r="G41" s="79" t="s">
        <v>817</v>
      </c>
      <c r="H41" s="79" t="s">
        <v>599</v>
      </c>
      <c r="L41" s="159">
        <v>195000</v>
      </c>
      <c r="P41" s="79" t="s">
        <v>818</v>
      </c>
      <c r="AF41" t="s">
        <v>819</v>
      </c>
      <c r="AG41">
        <v>10</v>
      </c>
    </row>
    <row r="42" spans="1:33" ht="12.75">
      <c r="A42" s="79" t="s">
        <v>820</v>
      </c>
      <c r="B42" s="79" t="s">
        <v>693</v>
      </c>
      <c r="D42" s="79" t="s">
        <v>821</v>
      </c>
      <c r="E42" s="79" t="s">
        <v>598</v>
      </c>
      <c r="G42" s="79" t="s">
        <v>822</v>
      </c>
      <c r="H42" s="79" t="s">
        <v>599</v>
      </c>
      <c r="L42" s="159">
        <v>200000</v>
      </c>
      <c r="P42" s="79" t="s">
        <v>823</v>
      </c>
      <c r="AF42" t="s">
        <v>824</v>
      </c>
      <c r="AG42">
        <v>5</v>
      </c>
    </row>
    <row r="43" spans="1:33" ht="12.75">
      <c r="A43" s="79" t="s">
        <v>825</v>
      </c>
      <c r="B43" s="79" t="s">
        <v>693</v>
      </c>
      <c r="D43" s="79" t="s">
        <v>826</v>
      </c>
      <c r="E43" s="79" t="s">
        <v>598</v>
      </c>
      <c r="G43" s="79" t="s">
        <v>93</v>
      </c>
      <c r="H43" s="79" t="s">
        <v>599</v>
      </c>
      <c r="L43" s="159">
        <v>205000</v>
      </c>
      <c r="P43" s="79" t="s">
        <v>827</v>
      </c>
      <c r="AF43" t="s">
        <v>828</v>
      </c>
      <c r="AG43">
        <v>5</v>
      </c>
    </row>
    <row r="44" spans="1:33" ht="12.75">
      <c r="A44" s="79" t="s">
        <v>829</v>
      </c>
      <c r="B44" s="79" t="s">
        <v>693</v>
      </c>
      <c r="D44" s="79" t="s">
        <v>830</v>
      </c>
      <c r="E44" s="79" t="s">
        <v>598</v>
      </c>
      <c r="G44" s="79" t="s">
        <v>831</v>
      </c>
      <c r="H44" s="79" t="s">
        <v>599</v>
      </c>
      <c r="L44" s="159">
        <v>210000</v>
      </c>
      <c r="P44" s="79" t="s">
        <v>832</v>
      </c>
      <c r="AF44" t="s">
        <v>833</v>
      </c>
      <c r="AG44">
        <v>5</v>
      </c>
    </row>
    <row r="45" spans="1:33" ht="12.75">
      <c r="A45" s="79" t="s">
        <v>834</v>
      </c>
      <c r="B45" s="79" t="s">
        <v>693</v>
      </c>
      <c r="D45" s="79" t="s">
        <v>835</v>
      </c>
      <c r="E45" s="79" t="s">
        <v>598</v>
      </c>
      <c r="G45" s="79" t="s">
        <v>836</v>
      </c>
      <c r="H45" s="79" t="s">
        <v>599</v>
      </c>
      <c r="L45" s="159">
        <v>215000</v>
      </c>
      <c r="P45" s="79" t="s">
        <v>837</v>
      </c>
      <c r="AF45" t="s">
        <v>838</v>
      </c>
      <c r="AG45">
        <v>10</v>
      </c>
    </row>
    <row r="46" spans="1:33" ht="12.75">
      <c r="A46" s="79" t="s">
        <v>839</v>
      </c>
      <c r="B46" s="79" t="s">
        <v>693</v>
      </c>
      <c r="D46" s="79" t="s">
        <v>840</v>
      </c>
      <c r="E46" s="79" t="s">
        <v>598</v>
      </c>
      <c r="G46" s="79" t="s">
        <v>841</v>
      </c>
      <c r="H46" s="79" t="s">
        <v>599</v>
      </c>
      <c r="L46" s="159">
        <v>220000</v>
      </c>
      <c r="P46" s="79" t="s">
        <v>842</v>
      </c>
      <c r="AF46" t="s">
        <v>843</v>
      </c>
      <c r="AG46">
        <v>5</v>
      </c>
    </row>
    <row r="47" spans="1:33" ht="12.75">
      <c r="A47" s="79" t="s">
        <v>844</v>
      </c>
      <c r="B47" s="79" t="s">
        <v>693</v>
      </c>
      <c r="D47" s="79" t="s">
        <v>845</v>
      </c>
      <c r="E47" s="79" t="s">
        <v>598</v>
      </c>
      <c r="G47" s="79" t="s">
        <v>846</v>
      </c>
      <c r="H47" s="79" t="s">
        <v>599</v>
      </c>
      <c r="L47" s="159">
        <v>225000</v>
      </c>
      <c r="P47" s="79" t="s">
        <v>847</v>
      </c>
      <c r="AF47" t="s">
        <v>848</v>
      </c>
      <c r="AG47">
        <v>5</v>
      </c>
    </row>
    <row r="48" spans="1:33" ht="12.75">
      <c r="A48" s="79" t="s">
        <v>849</v>
      </c>
      <c r="B48" s="79" t="s">
        <v>693</v>
      </c>
      <c r="D48" s="79" t="s">
        <v>850</v>
      </c>
      <c r="E48" s="79" t="s">
        <v>598</v>
      </c>
      <c r="G48" s="79" t="s">
        <v>851</v>
      </c>
      <c r="H48" s="79" t="s">
        <v>599</v>
      </c>
      <c r="L48" s="159">
        <v>230000</v>
      </c>
      <c r="P48" s="79" t="s">
        <v>852</v>
      </c>
      <c r="AF48" t="s">
        <v>853</v>
      </c>
      <c r="AG48">
        <v>10</v>
      </c>
    </row>
    <row r="49" spans="1:33" ht="12.75">
      <c r="A49" s="79" t="s">
        <v>854</v>
      </c>
      <c r="B49" s="79" t="s">
        <v>693</v>
      </c>
      <c r="D49" s="79" t="s">
        <v>855</v>
      </c>
      <c r="E49" s="79" t="s">
        <v>598</v>
      </c>
      <c r="G49" s="79" t="s">
        <v>856</v>
      </c>
      <c r="H49" s="79" t="s">
        <v>599</v>
      </c>
      <c r="L49" s="159">
        <v>235000</v>
      </c>
      <c r="P49" s="79" t="s">
        <v>857</v>
      </c>
      <c r="AF49" t="s">
        <v>858</v>
      </c>
      <c r="AG49">
        <v>5</v>
      </c>
    </row>
    <row r="50" spans="1:33" ht="12.75">
      <c r="A50" s="79" t="s">
        <v>309</v>
      </c>
      <c r="B50" s="79" t="s">
        <v>693</v>
      </c>
      <c r="D50" s="79" t="s">
        <v>859</v>
      </c>
      <c r="E50" s="79" t="s">
        <v>598</v>
      </c>
      <c r="G50" s="79" t="s">
        <v>860</v>
      </c>
      <c r="H50" s="79" t="s">
        <v>599</v>
      </c>
      <c r="L50" s="159">
        <v>240000</v>
      </c>
      <c r="P50" s="79" t="s">
        <v>861</v>
      </c>
      <c r="AF50" t="s">
        <v>862</v>
      </c>
      <c r="AG50">
        <v>10</v>
      </c>
    </row>
    <row r="51" spans="1:33" ht="12.75">
      <c r="A51" s="79" t="s">
        <v>863</v>
      </c>
      <c r="B51" s="79" t="s">
        <v>693</v>
      </c>
      <c r="D51" s="79" t="s">
        <v>864</v>
      </c>
      <c r="E51" s="79" t="s">
        <v>598</v>
      </c>
      <c r="L51" s="159">
        <v>245000</v>
      </c>
      <c r="P51" s="79" t="s">
        <v>865</v>
      </c>
      <c r="AF51" t="s">
        <v>866</v>
      </c>
      <c r="AG51">
        <v>15</v>
      </c>
    </row>
    <row r="52" spans="1:33" ht="12.75">
      <c r="A52" s="79" t="s">
        <v>867</v>
      </c>
      <c r="B52" s="79" t="s">
        <v>693</v>
      </c>
      <c r="D52" s="79" t="s">
        <v>868</v>
      </c>
      <c r="E52" s="79" t="s">
        <v>598</v>
      </c>
      <c r="L52" s="159">
        <v>250000</v>
      </c>
      <c r="P52" s="79" t="s">
        <v>869</v>
      </c>
      <c r="AF52" t="s">
        <v>870</v>
      </c>
      <c r="AG52"/>
    </row>
    <row r="53" spans="1:33" ht="12.75">
      <c r="A53" s="79" t="s">
        <v>871</v>
      </c>
      <c r="B53" s="79" t="s">
        <v>693</v>
      </c>
      <c r="D53" s="79" t="s">
        <v>872</v>
      </c>
      <c r="E53" s="79" t="s">
        <v>598</v>
      </c>
      <c r="P53" s="79" t="s">
        <v>873</v>
      </c>
      <c r="AF53" s="67" t="s">
        <v>94</v>
      </c>
      <c r="AG53" s="67" t="s">
        <v>606</v>
      </c>
    </row>
    <row r="54" spans="1:33" ht="12.75">
      <c r="A54" s="79" t="s">
        <v>874</v>
      </c>
      <c r="B54" s="79" t="s">
        <v>693</v>
      </c>
      <c r="D54" s="79" t="s">
        <v>875</v>
      </c>
      <c r="E54" s="79" t="s">
        <v>598</v>
      </c>
      <c r="P54" s="79" t="s">
        <v>876</v>
      </c>
      <c r="AF54" t="s">
        <v>877</v>
      </c>
      <c r="AG54">
        <v>-5</v>
      </c>
    </row>
    <row r="55" spans="1:33" ht="12.75">
      <c r="A55" s="79" t="s">
        <v>878</v>
      </c>
      <c r="B55" s="79" t="s">
        <v>693</v>
      </c>
      <c r="D55" s="79" t="s">
        <v>879</v>
      </c>
      <c r="E55" s="79" t="s">
        <v>598</v>
      </c>
      <c r="P55" s="79" t="s">
        <v>880</v>
      </c>
      <c r="AF55" t="s">
        <v>881</v>
      </c>
      <c r="AG55">
        <v>-10</v>
      </c>
    </row>
    <row r="56" spans="1:33" ht="12.75">
      <c r="A56" s="79" t="s">
        <v>59</v>
      </c>
      <c r="B56" s="79" t="s">
        <v>693</v>
      </c>
      <c r="D56" s="79" t="s">
        <v>882</v>
      </c>
      <c r="E56" s="79" t="s">
        <v>598</v>
      </c>
      <c r="P56" s="79" t="s">
        <v>883</v>
      </c>
      <c r="AF56" t="s">
        <v>884</v>
      </c>
      <c r="AG56">
        <v>-20</v>
      </c>
    </row>
    <row r="57" spans="1:33" ht="12.75">
      <c r="A57" s="79" t="s">
        <v>885</v>
      </c>
      <c r="B57" s="79" t="s">
        <v>693</v>
      </c>
      <c r="D57" s="79" t="s">
        <v>886</v>
      </c>
      <c r="E57" s="79" t="s">
        <v>598</v>
      </c>
      <c r="P57" s="79" t="s">
        <v>887</v>
      </c>
      <c r="AF57" t="s">
        <v>888</v>
      </c>
      <c r="AG57">
        <v>-30</v>
      </c>
    </row>
    <row r="58" spans="1:33" ht="12.75">
      <c r="A58" s="79" t="s">
        <v>889</v>
      </c>
      <c r="B58" s="79" t="s">
        <v>693</v>
      </c>
      <c r="D58" s="79" t="s">
        <v>890</v>
      </c>
      <c r="E58" s="79" t="s">
        <v>598</v>
      </c>
      <c r="P58" s="79" t="s">
        <v>891</v>
      </c>
      <c r="AF58" t="s">
        <v>892</v>
      </c>
      <c r="AG58">
        <v>-5</v>
      </c>
    </row>
    <row r="59" spans="1:33" ht="12.75">
      <c r="A59" s="79" t="s">
        <v>893</v>
      </c>
      <c r="B59" s="79" t="s">
        <v>693</v>
      </c>
      <c r="D59" s="79" t="s">
        <v>894</v>
      </c>
      <c r="E59" s="79" t="s">
        <v>598</v>
      </c>
      <c r="P59" s="79" t="s">
        <v>895</v>
      </c>
      <c r="AF59" t="s">
        <v>896</v>
      </c>
      <c r="AG59">
        <v>-10</v>
      </c>
    </row>
    <row r="60" spans="1:33" ht="12.75">
      <c r="A60" s="79" t="s">
        <v>897</v>
      </c>
      <c r="B60" s="79" t="s">
        <v>693</v>
      </c>
      <c r="D60" s="79" t="s">
        <v>898</v>
      </c>
      <c r="E60" s="79" t="s">
        <v>598</v>
      </c>
      <c r="P60" s="79" t="s">
        <v>899</v>
      </c>
      <c r="AF60" t="s">
        <v>900</v>
      </c>
      <c r="AG60">
        <v>-15</v>
      </c>
    </row>
    <row r="61" spans="1:33" ht="12.75">
      <c r="A61" s="79" t="s">
        <v>901</v>
      </c>
      <c r="B61" s="79" t="s">
        <v>693</v>
      </c>
      <c r="D61" s="79" t="s">
        <v>902</v>
      </c>
      <c r="E61" s="79" t="s">
        <v>598</v>
      </c>
      <c r="P61" s="79" t="s">
        <v>903</v>
      </c>
      <c r="AF61" t="s">
        <v>904</v>
      </c>
      <c r="AG61">
        <v>-10</v>
      </c>
    </row>
    <row r="62" spans="1:33" ht="12.75">
      <c r="A62" s="79" t="s">
        <v>905</v>
      </c>
      <c r="B62" s="79" t="s">
        <v>693</v>
      </c>
      <c r="D62" s="79" t="s">
        <v>906</v>
      </c>
      <c r="E62" s="79" t="s">
        <v>598</v>
      </c>
      <c r="P62" s="79" t="s">
        <v>907</v>
      </c>
      <c r="AF62" t="s">
        <v>908</v>
      </c>
      <c r="AG62">
        <v>-15</v>
      </c>
    </row>
    <row r="63" spans="1:33" ht="12.75">
      <c r="A63" s="79" t="s">
        <v>909</v>
      </c>
      <c r="B63" s="79" t="s">
        <v>693</v>
      </c>
      <c r="D63" s="79" t="s">
        <v>910</v>
      </c>
      <c r="E63" s="79" t="s">
        <v>598</v>
      </c>
      <c r="P63" s="79" t="s">
        <v>911</v>
      </c>
      <c r="AF63" t="s">
        <v>912</v>
      </c>
      <c r="AG63">
        <v>-20</v>
      </c>
    </row>
    <row r="64" spans="1:33" ht="12.75">
      <c r="A64" s="79" t="s">
        <v>72</v>
      </c>
      <c r="B64" s="79" t="s">
        <v>693</v>
      </c>
      <c r="D64" s="79" t="s">
        <v>913</v>
      </c>
      <c r="E64" s="79" t="s">
        <v>598</v>
      </c>
      <c r="P64" s="79" t="s">
        <v>914</v>
      </c>
      <c r="AF64" t="s">
        <v>915</v>
      </c>
      <c r="AG64">
        <v>-5</v>
      </c>
    </row>
    <row r="65" spans="1:33" ht="12.75">
      <c r="A65" s="79" t="s">
        <v>916</v>
      </c>
      <c r="B65" s="79" t="s">
        <v>693</v>
      </c>
      <c r="D65" s="79" t="s">
        <v>917</v>
      </c>
      <c r="E65" s="79" t="s">
        <v>598</v>
      </c>
      <c r="P65" s="79" t="s">
        <v>918</v>
      </c>
      <c r="AF65" t="s">
        <v>919</v>
      </c>
      <c r="AG65">
        <v>-5</v>
      </c>
    </row>
    <row r="66" spans="1:33" ht="12.75">
      <c r="A66" s="79" t="s">
        <v>70</v>
      </c>
      <c r="B66" s="79" t="s">
        <v>693</v>
      </c>
      <c r="D66" s="79" t="s">
        <v>920</v>
      </c>
      <c r="E66" s="79" t="s">
        <v>598</v>
      </c>
      <c r="P66" s="79" t="s">
        <v>921</v>
      </c>
      <c r="AF66" t="s">
        <v>922</v>
      </c>
      <c r="AG66">
        <v>-10</v>
      </c>
    </row>
    <row r="67" spans="1:33" ht="12.75">
      <c r="A67" s="79" t="s">
        <v>923</v>
      </c>
      <c r="B67" s="79" t="s">
        <v>693</v>
      </c>
      <c r="D67" s="79" t="s">
        <v>924</v>
      </c>
      <c r="E67" s="79" t="s">
        <v>598</v>
      </c>
      <c r="P67" s="79" t="s">
        <v>925</v>
      </c>
      <c r="AF67" t="s">
        <v>926</v>
      </c>
      <c r="AG67">
        <v>-10</v>
      </c>
    </row>
    <row r="68" spans="1:33" ht="12.75">
      <c r="A68" s="79" t="s">
        <v>927</v>
      </c>
      <c r="B68" s="79" t="s">
        <v>693</v>
      </c>
      <c r="D68" s="79" t="s">
        <v>928</v>
      </c>
      <c r="E68" s="79" t="s">
        <v>598</v>
      </c>
      <c r="P68" s="79" t="s">
        <v>929</v>
      </c>
      <c r="AF68" t="s">
        <v>930</v>
      </c>
      <c r="AG68">
        <v>-10</v>
      </c>
    </row>
    <row r="69" spans="1:33" ht="12.75">
      <c r="A69" s="79" t="s">
        <v>931</v>
      </c>
      <c r="B69" s="79" t="s">
        <v>693</v>
      </c>
      <c r="D69" s="79" t="s">
        <v>932</v>
      </c>
      <c r="E69" s="79" t="s">
        <v>598</v>
      </c>
      <c r="P69" s="79" t="s">
        <v>933</v>
      </c>
      <c r="AF69" t="s">
        <v>934</v>
      </c>
      <c r="AG69">
        <v>-10</v>
      </c>
    </row>
    <row r="70" spans="1:33" ht="12.75">
      <c r="A70" s="79" t="s">
        <v>935</v>
      </c>
      <c r="B70" s="79" t="s">
        <v>693</v>
      </c>
      <c r="D70" s="79" t="s">
        <v>936</v>
      </c>
      <c r="E70" s="79" t="s">
        <v>598</v>
      </c>
      <c r="P70" s="79" t="s">
        <v>937</v>
      </c>
      <c r="AF70" t="s">
        <v>938</v>
      </c>
      <c r="AG70">
        <v>-5</v>
      </c>
    </row>
    <row r="71" spans="1:33" ht="12.75">
      <c r="A71" s="79" t="s">
        <v>75</v>
      </c>
      <c r="B71" s="79" t="s">
        <v>693</v>
      </c>
      <c r="D71" s="79" t="s">
        <v>939</v>
      </c>
      <c r="E71" s="79" t="s">
        <v>598</v>
      </c>
      <c r="P71" s="79" t="s">
        <v>940</v>
      </c>
      <c r="AF71" t="s">
        <v>941</v>
      </c>
      <c r="AG71">
        <v>-20</v>
      </c>
    </row>
    <row r="72" spans="1:33" ht="12.75">
      <c r="A72" s="79" t="s">
        <v>942</v>
      </c>
      <c r="B72" s="79" t="s">
        <v>693</v>
      </c>
      <c r="D72" s="79" t="s">
        <v>943</v>
      </c>
      <c r="E72" s="79" t="s">
        <v>598</v>
      </c>
      <c r="P72" s="79" t="s">
        <v>944</v>
      </c>
      <c r="AF72" t="s">
        <v>945</v>
      </c>
      <c r="AG72">
        <v>-5</v>
      </c>
    </row>
    <row r="73" spans="1:33" ht="12.75">
      <c r="A73" s="79" t="s">
        <v>67</v>
      </c>
      <c r="B73" s="79" t="s">
        <v>693</v>
      </c>
      <c r="D73" s="79" t="s">
        <v>946</v>
      </c>
      <c r="E73" s="79" t="s">
        <v>598</v>
      </c>
      <c r="P73" s="79" t="s">
        <v>947</v>
      </c>
      <c r="AF73" t="s">
        <v>99</v>
      </c>
      <c r="AG73">
        <v>-20</v>
      </c>
    </row>
    <row r="74" spans="1:33" ht="12.75">
      <c r="A74" s="79" t="s">
        <v>948</v>
      </c>
      <c r="B74" s="79" t="s">
        <v>693</v>
      </c>
      <c r="D74" s="79" t="s">
        <v>949</v>
      </c>
      <c r="E74" s="79" t="s">
        <v>598</v>
      </c>
      <c r="AF74" t="s">
        <v>950</v>
      </c>
      <c r="AG74">
        <v>-5</v>
      </c>
    </row>
    <row r="75" spans="1:33" ht="12.75">
      <c r="A75" s="79" t="s">
        <v>951</v>
      </c>
      <c r="B75" s="79" t="s">
        <v>693</v>
      </c>
      <c r="D75" s="79" t="s">
        <v>952</v>
      </c>
      <c r="E75" s="79" t="s">
        <v>598</v>
      </c>
      <c r="P75" s="79" t="s">
        <v>953</v>
      </c>
      <c r="AF75" t="s">
        <v>954</v>
      </c>
      <c r="AG75">
        <v>-10</v>
      </c>
    </row>
    <row r="76" spans="1:33" ht="12.75">
      <c r="A76" s="79" t="s">
        <v>955</v>
      </c>
      <c r="B76" s="79" t="s">
        <v>693</v>
      </c>
      <c r="D76" s="79" t="s">
        <v>956</v>
      </c>
      <c r="E76" s="79" t="s">
        <v>598</v>
      </c>
      <c r="P76" s="79" t="s">
        <v>957</v>
      </c>
      <c r="AF76" t="s">
        <v>958</v>
      </c>
      <c r="AG76">
        <v>-15</v>
      </c>
    </row>
    <row r="77" spans="1:33" ht="12.75">
      <c r="A77" s="79" t="s">
        <v>959</v>
      </c>
      <c r="B77" s="79" t="s">
        <v>693</v>
      </c>
      <c r="D77" s="79" t="s">
        <v>960</v>
      </c>
      <c r="E77" s="79" t="s">
        <v>598</v>
      </c>
      <c r="P77" s="79" t="s">
        <v>961</v>
      </c>
      <c r="AF77" t="s">
        <v>962</v>
      </c>
      <c r="AG77">
        <v>-20</v>
      </c>
    </row>
    <row r="78" spans="1:33" ht="12.75">
      <c r="A78" s="79" t="s">
        <v>963</v>
      </c>
      <c r="B78" s="79" t="s">
        <v>693</v>
      </c>
      <c r="D78" s="79" t="s">
        <v>964</v>
      </c>
      <c r="E78" s="79" t="s">
        <v>598</v>
      </c>
      <c r="P78" s="79" t="s">
        <v>965</v>
      </c>
      <c r="AF78" t="s">
        <v>966</v>
      </c>
      <c r="AG78">
        <v>-5</v>
      </c>
    </row>
    <row r="79" spans="1:33" ht="12.75">
      <c r="A79" s="79" t="s">
        <v>605</v>
      </c>
      <c r="B79" s="79" t="s">
        <v>693</v>
      </c>
      <c r="D79" s="79" t="s">
        <v>967</v>
      </c>
      <c r="E79" s="79" t="s">
        <v>598</v>
      </c>
      <c r="P79" s="79" t="s">
        <v>968</v>
      </c>
      <c r="AF79" t="s">
        <v>969</v>
      </c>
      <c r="AG79">
        <v>-5</v>
      </c>
    </row>
    <row r="80" spans="1:33" ht="12.75">
      <c r="A80" s="79" t="s">
        <v>635</v>
      </c>
      <c r="B80" s="79" t="s">
        <v>693</v>
      </c>
      <c r="D80" s="79" t="s">
        <v>970</v>
      </c>
      <c r="E80" s="79" t="s">
        <v>598</v>
      </c>
      <c r="P80" s="79" t="s">
        <v>971</v>
      </c>
      <c r="AF80" t="s">
        <v>972</v>
      </c>
      <c r="AG80">
        <v>-10</v>
      </c>
    </row>
    <row r="81" spans="1:33" ht="12.75">
      <c r="A81" s="79" t="s">
        <v>973</v>
      </c>
      <c r="B81" s="79" t="s">
        <v>693</v>
      </c>
      <c r="D81" s="79" t="s">
        <v>974</v>
      </c>
      <c r="E81" s="79" t="s">
        <v>598</v>
      </c>
      <c r="P81" s="79" t="s">
        <v>975</v>
      </c>
      <c r="AF81" t="s">
        <v>976</v>
      </c>
      <c r="AG81">
        <v>-20</v>
      </c>
    </row>
    <row r="82" spans="1:33" ht="12.75">
      <c r="A82" s="79" t="s">
        <v>977</v>
      </c>
      <c r="B82" s="79" t="s">
        <v>693</v>
      </c>
      <c r="D82" s="79" t="s">
        <v>978</v>
      </c>
      <c r="E82" s="79" t="s">
        <v>598</v>
      </c>
      <c r="P82" s="79" t="s">
        <v>979</v>
      </c>
      <c r="AF82" t="s">
        <v>980</v>
      </c>
      <c r="AG82">
        <v>-30</v>
      </c>
    </row>
    <row r="83" spans="1:33" ht="12.75">
      <c r="A83" s="79" t="s">
        <v>981</v>
      </c>
      <c r="B83" s="79" t="s">
        <v>693</v>
      </c>
      <c r="D83" s="79" t="s">
        <v>982</v>
      </c>
      <c r="E83" s="79" t="s">
        <v>598</v>
      </c>
      <c r="P83" s="79" t="s">
        <v>983</v>
      </c>
      <c r="AF83" t="s">
        <v>984</v>
      </c>
      <c r="AG83">
        <v>-10</v>
      </c>
    </row>
    <row r="84" spans="1:33" ht="12.75">
      <c r="A84" s="79" t="s">
        <v>985</v>
      </c>
      <c r="B84" s="79" t="s">
        <v>693</v>
      </c>
      <c r="D84" s="79" t="s">
        <v>986</v>
      </c>
      <c r="E84" s="79" t="s">
        <v>598</v>
      </c>
      <c r="P84" s="79" t="s">
        <v>987</v>
      </c>
      <c r="AF84" t="s">
        <v>988</v>
      </c>
      <c r="AG84">
        <v>-5</v>
      </c>
    </row>
    <row r="85" spans="1:33" ht="12.75">
      <c r="A85" s="79" t="s">
        <v>989</v>
      </c>
      <c r="B85" s="79" t="s">
        <v>693</v>
      </c>
      <c r="D85" s="79" t="s">
        <v>990</v>
      </c>
      <c r="E85" s="79" t="s">
        <v>598</v>
      </c>
      <c r="P85" s="79" t="s">
        <v>991</v>
      </c>
      <c r="AF85" t="s">
        <v>101</v>
      </c>
      <c r="AG85">
        <v>-10</v>
      </c>
    </row>
    <row r="86" spans="4:33" ht="12.75">
      <c r="D86" s="79" t="s">
        <v>992</v>
      </c>
      <c r="E86" s="79" t="s">
        <v>598</v>
      </c>
      <c r="P86" s="79" t="s">
        <v>993</v>
      </c>
      <c r="AF86" t="s">
        <v>994</v>
      </c>
      <c r="AG86">
        <v>-15</v>
      </c>
    </row>
    <row r="87" spans="4:33" ht="12.75">
      <c r="D87" s="79" t="s">
        <v>995</v>
      </c>
      <c r="E87" s="79" t="s">
        <v>598</v>
      </c>
      <c r="P87" s="79" t="s">
        <v>996</v>
      </c>
      <c r="AF87" t="s">
        <v>997</v>
      </c>
      <c r="AG87">
        <v>-20</v>
      </c>
    </row>
    <row r="88" spans="4:33" ht="12.75">
      <c r="D88" s="79" t="s">
        <v>998</v>
      </c>
      <c r="E88" s="79" t="s">
        <v>598</v>
      </c>
      <c r="P88" s="79" t="s">
        <v>999</v>
      </c>
      <c r="AF88" t="s">
        <v>96</v>
      </c>
      <c r="AG88">
        <v>-5</v>
      </c>
    </row>
    <row r="89" spans="4:33" ht="12.75">
      <c r="D89" s="79" t="s">
        <v>1000</v>
      </c>
      <c r="E89" s="79" t="s">
        <v>598</v>
      </c>
      <c r="P89" s="79" t="s">
        <v>1001</v>
      </c>
      <c r="AF89" t="s">
        <v>1002</v>
      </c>
      <c r="AG89">
        <v>-20</v>
      </c>
    </row>
    <row r="90" spans="4:33" ht="12.75">
      <c r="D90" s="79" t="s">
        <v>1003</v>
      </c>
      <c r="E90" s="79" t="s">
        <v>598</v>
      </c>
      <c r="P90" s="79" t="s">
        <v>1004</v>
      </c>
      <c r="AF90" t="s">
        <v>1005</v>
      </c>
      <c r="AG90">
        <v>-10</v>
      </c>
    </row>
    <row r="91" spans="4:33" ht="12.75">
      <c r="D91" s="79" t="s">
        <v>1006</v>
      </c>
      <c r="E91" s="79" t="s">
        <v>598</v>
      </c>
      <c r="P91" s="79" t="s">
        <v>1007</v>
      </c>
      <c r="AF91" t="s">
        <v>1008</v>
      </c>
      <c r="AG91">
        <v>-5</v>
      </c>
    </row>
    <row r="92" spans="4:33" ht="12.75">
      <c r="D92" s="79" t="s">
        <v>73</v>
      </c>
      <c r="E92" s="79" t="s">
        <v>598</v>
      </c>
      <c r="P92" s="79" t="s">
        <v>1009</v>
      </c>
      <c r="AF92" t="s">
        <v>1010</v>
      </c>
      <c r="AG92">
        <v>-5</v>
      </c>
    </row>
    <row r="93" spans="4:33" ht="12.75">
      <c r="D93" s="79" t="s">
        <v>76</v>
      </c>
      <c r="E93" s="79" t="s">
        <v>598</v>
      </c>
      <c r="P93" s="79" t="s">
        <v>1011</v>
      </c>
      <c r="AF93" t="s">
        <v>1012</v>
      </c>
      <c r="AG93">
        <v>-10</v>
      </c>
    </row>
    <row r="94" spans="4:33" ht="12.75">
      <c r="D94" s="79" t="s">
        <v>1013</v>
      </c>
      <c r="E94" s="79" t="s">
        <v>598</v>
      </c>
      <c r="P94" s="79" t="s">
        <v>1014</v>
      </c>
      <c r="AF94" t="s">
        <v>1015</v>
      </c>
      <c r="AG94">
        <v>-5</v>
      </c>
    </row>
    <row r="95" spans="4:33" ht="12.75">
      <c r="D95" s="79" t="s">
        <v>1016</v>
      </c>
      <c r="E95" s="79" t="s">
        <v>598</v>
      </c>
      <c r="P95" s="79" t="s">
        <v>1017</v>
      </c>
      <c r="AF95" t="s">
        <v>1018</v>
      </c>
      <c r="AG95">
        <v>-10</v>
      </c>
    </row>
    <row r="96" spans="4:33" ht="12.75">
      <c r="D96" s="79" t="s">
        <v>1019</v>
      </c>
      <c r="E96" s="79" t="s">
        <v>598</v>
      </c>
      <c r="P96" s="79" t="s">
        <v>1020</v>
      </c>
      <c r="AF96" t="s">
        <v>1021</v>
      </c>
      <c r="AG96">
        <v>-15</v>
      </c>
    </row>
    <row r="97" spans="4:33" ht="12.75">
      <c r="D97" s="79" t="s">
        <v>78</v>
      </c>
      <c r="E97" s="79" t="s">
        <v>598</v>
      </c>
      <c r="P97" s="79" t="s">
        <v>1022</v>
      </c>
      <c r="AF97" t="s">
        <v>1023</v>
      </c>
      <c r="AG97">
        <v>-10</v>
      </c>
    </row>
    <row r="98" spans="4:33" ht="12.75">
      <c r="D98" s="79" t="s">
        <v>1024</v>
      </c>
      <c r="E98" s="79" t="s">
        <v>598</v>
      </c>
      <c r="P98" s="79" t="s">
        <v>1025</v>
      </c>
      <c r="AF98" t="s">
        <v>1026</v>
      </c>
      <c r="AG98">
        <v>-15</v>
      </c>
    </row>
    <row r="99" spans="4:33" ht="12.75">
      <c r="D99" s="79" t="s">
        <v>1027</v>
      </c>
      <c r="E99" s="79" t="s">
        <v>598</v>
      </c>
      <c r="AF99" t="s">
        <v>1028</v>
      </c>
      <c r="AG99">
        <v>-5</v>
      </c>
    </row>
    <row r="100" spans="4:33" ht="12.75">
      <c r="D100" s="79" t="s">
        <v>79</v>
      </c>
      <c r="E100" s="79" t="s">
        <v>598</v>
      </c>
      <c r="P100" s="79" t="s">
        <v>1029</v>
      </c>
      <c r="AF100" t="s">
        <v>1030</v>
      </c>
      <c r="AG100">
        <v>-10</v>
      </c>
    </row>
    <row r="101" spans="4:33" ht="12.75">
      <c r="D101" s="79" t="s">
        <v>1031</v>
      </c>
      <c r="E101" s="79" t="s">
        <v>598</v>
      </c>
      <c r="P101" s="79" t="s">
        <v>1032</v>
      </c>
      <c r="AF101" t="s">
        <v>1033</v>
      </c>
      <c r="AG101">
        <v>-10</v>
      </c>
    </row>
    <row r="102" spans="4:33" ht="12.75">
      <c r="D102" s="79" t="s">
        <v>1034</v>
      </c>
      <c r="E102" s="79" t="s">
        <v>598</v>
      </c>
      <c r="P102" s="79" t="s">
        <v>1035</v>
      </c>
      <c r="AF102" t="s">
        <v>1036</v>
      </c>
      <c r="AG102">
        <v>-20</v>
      </c>
    </row>
    <row r="103" spans="4:33" ht="12.75">
      <c r="D103" s="79" t="s">
        <v>1037</v>
      </c>
      <c r="E103" s="79" t="s">
        <v>598</v>
      </c>
      <c r="P103" s="79" t="s">
        <v>1038</v>
      </c>
      <c r="AF103" t="s">
        <v>1039</v>
      </c>
      <c r="AG103">
        <v>-20</v>
      </c>
    </row>
    <row r="104" spans="4:33" ht="12.75">
      <c r="D104" s="79" t="s">
        <v>1040</v>
      </c>
      <c r="E104" s="79" t="s">
        <v>598</v>
      </c>
      <c r="P104" s="79" t="s">
        <v>1041</v>
      </c>
      <c r="AF104" t="s">
        <v>1042</v>
      </c>
      <c r="AG104">
        <v>-5</v>
      </c>
    </row>
    <row r="105" spans="4:16" ht="12.75">
      <c r="D105" s="79" t="s">
        <v>80</v>
      </c>
      <c r="E105" s="79" t="s">
        <v>598</v>
      </c>
      <c r="P105" s="79" t="s">
        <v>1043</v>
      </c>
    </row>
    <row r="106" spans="4:16" ht="12.75">
      <c r="D106" s="79" t="s">
        <v>1044</v>
      </c>
      <c r="E106" s="79" t="s">
        <v>598</v>
      </c>
      <c r="P106" s="79" t="s">
        <v>1045</v>
      </c>
    </row>
    <row r="107" spans="4:16" ht="12.75">
      <c r="D107" s="79" t="s">
        <v>1046</v>
      </c>
      <c r="E107" s="79" t="s">
        <v>598</v>
      </c>
      <c r="P107" s="79" t="s">
        <v>1047</v>
      </c>
    </row>
    <row r="108" spans="4:16" ht="12.75">
      <c r="D108" s="79" t="s">
        <v>1048</v>
      </c>
      <c r="E108" s="79" t="s">
        <v>598</v>
      </c>
      <c r="P108" s="79" t="s">
        <v>1049</v>
      </c>
    </row>
    <row r="109" spans="4:16" ht="12.75">
      <c r="D109" s="79" t="s">
        <v>1050</v>
      </c>
      <c r="E109" s="79" t="s">
        <v>598</v>
      </c>
      <c r="P109" s="79" t="s">
        <v>1051</v>
      </c>
    </row>
    <row r="110" spans="4:16" ht="12.75">
      <c r="D110" s="79" t="s">
        <v>1052</v>
      </c>
      <c r="E110" s="79" t="s">
        <v>598</v>
      </c>
      <c r="P110" s="79" t="s">
        <v>1053</v>
      </c>
    </row>
    <row r="111" spans="4:16" ht="12.75">
      <c r="D111" s="79" t="s">
        <v>1054</v>
      </c>
      <c r="E111" s="79" t="s">
        <v>598</v>
      </c>
      <c r="P111" s="79" t="s">
        <v>1055</v>
      </c>
    </row>
    <row r="112" spans="4:16" ht="12.75">
      <c r="D112" s="79" t="s">
        <v>1056</v>
      </c>
      <c r="E112" s="79" t="s">
        <v>598</v>
      </c>
      <c r="P112" s="79" t="s">
        <v>1057</v>
      </c>
    </row>
    <row r="113" spans="4:16" ht="12.75">
      <c r="D113" s="79" t="s">
        <v>1058</v>
      </c>
      <c r="E113" s="79" t="s">
        <v>598</v>
      </c>
      <c r="P113" s="79" t="s">
        <v>1059</v>
      </c>
    </row>
    <row r="114" spans="4:16" ht="12.75">
      <c r="D114" s="79" t="s">
        <v>1060</v>
      </c>
      <c r="E114" s="79" t="s">
        <v>598</v>
      </c>
      <c r="P114" s="79" t="s">
        <v>1061</v>
      </c>
    </row>
    <row r="115" spans="4:16" ht="12.75">
      <c r="D115" s="79" t="s">
        <v>1062</v>
      </c>
      <c r="E115" s="79" t="s">
        <v>598</v>
      </c>
      <c r="P115" s="79" t="s">
        <v>1063</v>
      </c>
    </row>
    <row r="116" spans="4:16" ht="12.75">
      <c r="D116" s="79" t="s">
        <v>1064</v>
      </c>
      <c r="E116" s="79" t="s">
        <v>598</v>
      </c>
      <c r="P116" s="79" t="s">
        <v>1065</v>
      </c>
    </row>
    <row r="117" spans="4:16" ht="12.75">
      <c r="D117" s="79" t="s">
        <v>57</v>
      </c>
      <c r="E117" s="79" t="s">
        <v>598</v>
      </c>
      <c r="P117" s="79" t="s">
        <v>1066</v>
      </c>
    </row>
    <row r="118" spans="4:16" ht="12.75">
      <c r="D118" s="79" t="s">
        <v>1067</v>
      </c>
      <c r="E118" s="79" t="s">
        <v>598</v>
      </c>
      <c r="P118" s="79" t="s">
        <v>1068</v>
      </c>
    </row>
    <row r="119" spans="4:16" ht="12.75">
      <c r="D119" s="79" t="s">
        <v>1069</v>
      </c>
      <c r="E119" s="79" t="s">
        <v>598</v>
      </c>
      <c r="P119" s="79" t="s">
        <v>1070</v>
      </c>
    </row>
    <row r="120" spans="4:16" ht="12.75">
      <c r="D120" s="79" t="s">
        <v>1071</v>
      </c>
      <c r="E120" s="79" t="s">
        <v>598</v>
      </c>
      <c r="P120" s="79" t="s">
        <v>1072</v>
      </c>
    </row>
    <row r="121" spans="4:16" ht="12.75">
      <c r="D121" s="79" t="s">
        <v>1073</v>
      </c>
      <c r="E121" s="79" t="s">
        <v>598</v>
      </c>
      <c r="P121" s="79" t="s">
        <v>1074</v>
      </c>
    </row>
    <row r="122" spans="4:16" ht="12.75">
      <c r="D122" s="79" t="s">
        <v>1075</v>
      </c>
      <c r="E122" s="79" t="s">
        <v>598</v>
      </c>
      <c r="P122" s="79" t="s">
        <v>1076</v>
      </c>
    </row>
    <row r="123" spans="4:16" ht="12.75">
      <c r="D123" s="79" t="s">
        <v>1077</v>
      </c>
      <c r="E123" s="79" t="s">
        <v>598</v>
      </c>
      <c r="P123" s="79" t="s">
        <v>1078</v>
      </c>
    </row>
    <row r="124" spans="4:16" ht="12.75">
      <c r="D124" s="79" t="s">
        <v>1079</v>
      </c>
      <c r="E124" s="79" t="s">
        <v>598</v>
      </c>
      <c r="P124" s="79" t="s">
        <v>1080</v>
      </c>
    </row>
    <row r="125" spans="4:16" ht="12.75">
      <c r="D125" s="79" t="s">
        <v>1081</v>
      </c>
      <c r="E125" s="79" t="s">
        <v>598</v>
      </c>
      <c r="P125" s="79" t="s">
        <v>1082</v>
      </c>
    </row>
    <row r="126" spans="4:16" ht="12.75">
      <c r="D126" s="79" t="s">
        <v>1083</v>
      </c>
      <c r="E126" s="79" t="s">
        <v>598</v>
      </c>
      <c r="P126" s="79" t="s">
        <v>1084</v>
      </c>
    </row>
    <row r="127" spans="4:16" ht="12.75">
      <c r="D127" s="79" t="s">
        <v>1085</v>
      </c>
      <c r="E127" s="79" t="s">
        <v>598</v>
      </c>
      <c r="P127" s="79" t="s">
        <v>1086</v>
      </c>
    </row>
    <row r="128" spans="4:16" ht="12.75">
      <c r="D128" s="79" t="s">
        <v>1087</v>
      </c>
      <c r="E128" s="79" t="s">
        <v>598</v>
      </c>
      <c r="P128" s="79" t="s">
        <v>1088</v>
      </c>
    </row>
    <row r="129" spans="4:16" ht="12.75">
      <c r="D129" s="79" t="s">
        <v>1089</v>
      </c>
      <c r="E129" s="79" t="s">
        <v>598</v>
      </c>
      <c r="P129" s="79" t="s">
        <v>1090</v>
      </c>
    </row>
    <row r="130" spans="4:16" ht="12.75">
      <c r="D130" s="79" t="s">
        <v>1091</v>
      </c>
      <c r="E130" s="79" t="s">
        <v>598</v>
      </c>
      <c r="P130" s="79" t="s">
        <v>1092</v>
      </c>
    </row>
    <row r="131" spans="4:16" ht="12.75">
      <c r="D131" s="79" t="s">
        <v>1093</v>
      </c>
      <c r="E131" s="79" t="s">
        <v>598</v>
      </c>
      <c r="P131" s="79" t="s">
        <v>1094</v>
      </c>
    </row>
    <row r="132" spans="4:16" ht="12.75">
      <c r="D132" s="79" t="s">
        <v>1095</v>
      </c>
      <c r="E132" s="79" t="s">
        <v>598</v>
      </c>
      <c r="P132" s="79" t="s">
        <v>1096</v>
      </c>
    </row>
    <row r="133" spans="4:16" ht="12.75">
      <c r="D133" s="79" t="s">
        <v>1097</v>
      </c>
      <c r="E133" s="79" t="s">
        <v>598</v>
      </c>
      <c r="P133" s="79" t="s">
        <v>1098</v>
      </c>
    </row>
    <row r="134" spans="4:16" ht="12.75">
      <c r="D134" s="79" t="s">
        <v>1099</v>
      </c>
      <c r="E134" s="79" t="s">
        <v>598</v>
      </c>
      <c r="P134" s="79" t="s">
        <v>1100</v>
      </c>
    </row>
    <row r="135" spans="4:16" ht="12.75">
      <c r="D135" s="79" t="s">
        <v>1101</v>
      </c>
      <c r="E135" s="79" t="s">
        <v>598</v>
      </c>
      <c r="P135" s="79" t="s">
        <v>1102</v>
      </c>
    </row>
    <row r="136" spans="4:16" ht="12.75">
      <c r="D136" s="79" t="s">
        <v>1103</v>
      </c>
      <c r="E136" s="79" t="s">
        <v>598</v>
      </c>
      <c r="P136" s="79" t="s">
        <v>1104</v>
      </c>
    </row>
    <row r="137" spans="4:5" ht="12.75">
      <c r="D137" s="79" t="s">
        <v>1105</v>
      </c>
      <c r="E137" s="79" t="s">
        <v>598</v>
      </c>
    </row>
    <row r="138" spans="4:16" ht="12.75">
      <c r="D138" s="79" t="s">
        <v>1106</v>
      </c>
      <c r="E138" s="79" t="s">
        <v>598</v>
      </c>
      <c r="P138" s="79" t="s">
        <v>1107</v>
      </c>
    </row>
    <row r="139" spans="4:16" ht="12.75">
      <c r="D139" s="79" t="s">
        <v>1108</v>
      </c>
      <c r="E139" s="79" t="s">
        <v>598</v>
      </c>
      <c r="P139" s="79" t="s">
        <v>1109</v>
      </c>
    </row>
    <row r="140" spans="4:16" ht="12.75">
      <c r="D140" s="79" t="s">
        <v>1110</v>
      </c>
      <c r="E140" s="79" t="s">
        <v>598</v>
      </c>
      <c r="P140" s="79" t="s">
        <v>1111</v>
      </c>
    </row>
    <row r="141" spans="4:16" ht="12.75">
      <c r="D141" s="79" t="s">
        <v>1112</v>
      </c>
      <c r="E141" s="79" t="s">
        <v>598</v>
      </c>
      <c r="P141" s="79" t="s">
        <v>1113</v>
      </c>
    </row>
    <row r="142" spans="4:16" ht="12.75">
      <c r="D142" s="79" t="s">
        <v>1114</v>
      </c>
      <c r="E142" s="79" t="s">
        <v>598</v>
      </c>
      <c r="P142" s="79" t="s">
        <v>1115</v>
      </c>
    </row>
    <row r="143" spans="4:16" ht="12.75">
      <c r="D143" s="79" t="s">
        <v>1116</v>
      </c>
      <c r="E143" s="79" t="s">
        <v>598</v>
      </c>
      <c r="P143" s="79" t="s">
        <v>1117</v>
      </c>
    </row>
    <row r="144" spans="4:16" ht="12.75">
      <c r="D144" s="79" t="s">
        <v>1118</v>
      </c>
      <c r="E144" s="79" t="s">
        <v>598</v>
      </c>
      <c r="P144" s="79" t="s">
        <v>1119</v>
      </c>
    </row>
    <row r="145" spans="4:16" ht="12.75">
      <c r="D145" s="79" t="s">
        <v>1120</v>
      </c>
      <c r="E145" s="79" t="s">
        <v>598</v>
      </c>
      <c r="P145" s="79" t="s">
        <v>1121</v>
      </c>
    </row>
    <row r="146" spans="4:16" ht="12.75">
      <c r="D146" s="79" t="s">
        <v>1122</v>
      </c>
      <c r="E146" s="79" t="s">
        <v>598</v>
      </c>
      <c r="P146" s="79" t="s">
        <v>1123</v>
      </c>
    </row>
    <row r="147" spans="4:16" ht="12.75">
      <c r="D147" s="79" t="s">
        <v>1124</v>
      </c>
      <c r="E147" s="79" t="s">
        <v>598</v>
      </c>
      <c r="P147" s="79" t="s">
        <v>1125</v>
      </c>
    </row>
    <row r="148" spans="4:16" ht="12.75">
      <c r="D148" s="79" t="s">
        <v>1126</v>
      </c>
      <c r="E148" s="79" t="s">
        <v>598</v>
      </c>
      <c r="P148" s="79" t="s">
        <v>1127</v>
      </c>
    </row>
    <row r="149" spans="4:16" ht="12.75">
      <c r="D149" s="79" t="s">
        <v>1128</v>
      </c>
      <c r="E149" s="79" t="s">
        <v>598</v>
      </c>
      <c r="P149" s="79" t="s">
        <v>1129</v>
      </c>
    </row>
    <row r="150" spans="4:16" ht="12.75">
      <c r="D150" s="79" t="s">
        <v>1130</v>
      </c>
      <c r="E150" s="79" t="s">
        <v>598</v>
      </c>
      <c r="P150" s="79" t="s">
        <v>1131</v>
      </c>
    </row>
    <row r="151" spans="4:16" ht="12.75">
      <c r="D151" s="79" t="s">
        <v>1132</v>
      </c>
      <c r="E151" s="79" t="s">
        <v>598</v>
      </c>
      <c r="P151" s="79" t="s">
        <v>1133</v>
      </c>
    </row>
    <row r="152" spans="4:16" ht="12.75">
      <c r="D152" s="79" t="s">
        <v>1134</v>
      </c>
      <c r="E152" s="79" t="s">
        <v>598</v>
      </c>
      <c r="P152" s="79" t="s">
        <v>1135</v>
      </c>
    </row>
    <row r="153" spans="4:16" ht="12.75">
      <c r="D153" s="79" t="s">
        <v>1136</v>
      </c>
      <c r="E153" s="79" t="s">
        <v>598</v>
      </c>
      <c r="P153" s="79" t="s">
        <v>1137</v>
      </c>
    </row>
    <row r="154" spans="4:16" ht="12.75">
      <c r="D154" s="79" t="s">
        <v>1138</v>
      </c>
      <c r="E154" s="79" t="s">
        <v>598</v>
      </c>
      <c r="P154" s="79" t="s">
        <v>1139</v>
      </c>
    </row>
    <row r="155" spans="4:16" ht="12.75">
      <c r="D155" s="79" t="s">
        <v>1140</v>
      </c>
      <c r="E155" s="79" t="s">
        <v>598</v>
      </c>
      <c r="P155" s="79" t="s">
        <v>1141</v>
      </c>
    </row>
    <row r="156" spans="4:16" ht="12.75">
      <c r="D156" s="79" t="s">
        <v>1142</v>
      </c>
      <c r="E156" s="79" t="s">
        <v>598</v>
      </c>
      <c r="P156" s="79" t="s">
        <v>1143</v>
      </c>
    </row>
    <row r="157" spans="4:16" ht="12.75">
      <c r="D157" s="79" t="s">
        <v>1144</v>
      </c>
      <c r="E157" s="79" t="s">
        <v>598</v>
      </c>
      <c r="P157" s="79" t="s">
        <v>1145</v>
      </c>
    </row>
    <row r="158" spans="4:16" ht="12.75">
      <c r="D158" s="79" t="s">
        <v>1146</v>
      </c>
      <c r="E158" s="79" t="s">
        <v>598</v>
      </c>
      <c r="P158" s="79" t="s">
        <v>1147</v>
      </c>
    </row>
    <row r="159" spans="4:16" ht="12.75">
      <c r="D159" s="79" t="s">
        <v>1148</v>
      </c>
      <c r="E159" s="79" t="s">
        <v>598</v>
      </c>
      <c r="P159" s="79" t="s">
        <v>1149</v>
      </c>
    </row>
    <row r="160" spans="4:16" ht="12.75">
      <c r="D160" s="79" t="s">
        <v>1150</v>
      </c>
      <c r="E160" s="79" t="s">
        <v>598</v>
      </c>
      <c r="P160" s="79" t="s">
        <v>1151</v>
      </c>
    </row>
    <row r="161" spans="4:16" ht="12.75">
      <c r="D161" s="79" t="s">
        <v>1152</v>
      </c>
      <c r="E161" s="79" t="s">
        <v>598</v>
      </c>
      <c r="P161" s="79" t="s">
        <v>1153</v>
      </c>
    </row>
    <row r="162" spans="4:16" ht="12.75">
      <c r="D162" s="79" t="s">
        <v>1154</v>
      </c>
      <c r="E162" s="79" t="s">
        <v>598</v>
      </c>
      <c r="P162" s="79" t="s">
        <v>1155</v>
      </c>
    </row>
    <row r="163" spans="4:16" ht="12.75">
      <c r="D163" s="79" t="s">
        <v>1156</v>
      </c>
      <c r="E163" s="79" t="s">
        <v>598</v>
      </c>
      <c r="P163" s="79" t="s">
        <v>1157</v>
      </c>
    </row>
    <row r="164" spans="4:16" ht="12.75">
      <c r="D164" s="79" t="s">
        <v>1158</v>
      </c>
      <c r="E164" s="79" t="s">
        <v>598</v>
      </c>
      <c r="P164" s="79" t="s">
        <v>1159</v>
      </c>
    </row>
    <row r="165" spans="4:16" ht="12.75">
      <c r="D165" s="79" t="s">
        <v>1160</v>
      </c>
      <c r="E165" s="79" t="s">
        <v>598</v>
      </c>
      <c r="P165" s="79" t="s">
        <v>1161</v>
      </c>
    </row>
    <row r="166" spans="4:16" ht="12.75">
      <c r="D166" s="79" t="s">
        <v>1162</v>
      </c>
      <c r="E166" s="79" t="s">
        <v>598</v>
      </c>
      <c r="P166" s="79" t="s">
        <v>1163</v>
      </c>
    </row>
    <row r="167" ht="12.75">
      <c r="P167" s="79" t="s">
        <v>1164</v>
      </c>
    </row>
    <row r="168" ht="12.75">
      <c r="P168" s="79" t="s">
        <v>1165</v>
      </c>
    </row>
    <row r="169" ht="12.75">
      <c r="P169" s="79" t="s">
        <v>1166</v>
      </c>
    </row>
    <row r="170" ht="12.75">
      <c r="P170" s="79" t="s">
        <v>1167</v>
      </c>
    </row>
    <row r="171" ht="12.75">
      <c r="P171" s="79" t="s">
        <v>1168</v>
      </c>
    </row>
    <row r="172" ht="12.75">
      <c r="P172" s="79" t="s">
        <v>1169</v>
      </c>
    </row>
    <row r="173" ht="12.75">
      <c r="P173" s="79" t="s">
        <v>1170</v>
      </c>
    </row>
    <row r="174" ht="12.75">
      <c r="P174" s="79" t="s">
        <v>1171</v>
      </c>
    </row>
    <row r="175" ht="12.75">
      <c r="P175" s="79" t="s">
        <v>1172</v>
      </c>
    </row>
    <row r="176" ht="12.75">
      <c r="P176" s="79" t="s">
        <v>1173</v>
      </c>
    </row>
    <row r="177" ht="12.75">
      <c r="P177" s="79" t="s">
        <v>1174</v>
      </c>
    </row>
    <row r="178" ht="12.75">
      <c r="P178" s="79" t="s">
        <v>1175</v>
      </c>
    </row>
    <row r="179" ht="12.75">
      <c r="P179" s="79" t="s">
        <v>1176</v>
      </c>
    </row>
    <row r="180" ht="12.75">
      <c r="P180" s="79" t="s">
        <v>1177</v>
      </c>
    </row>
    <row r="181" ht="12.75">
      <c r="P181" s="79" t="s">
        <v>1178</v>
      </c>
    </row>
    <row r="182" ht="12.75">
      <c r="P182" s="79" t="s">
        <v>1179</v>
      </c>
    </row>
    <row r="183" ht="12.75">
      <c r="P183" s="79" t="s">
        <v>1180</v>
      </c>
    </row>
    <row r="184" ht="12.75">
      <c r="P184" s="79" t="s">
        <v>1181</v>
      </c>
    </row>
    <row r="185" ht="12.75">
      <c r="P185" s="79" t="s">
        <v>1182</v>
      </c>
    </row>
    <row r="186" ht="12.75">
      <c r="P186" s="79" t="s">
        <v>1183</v>
      </c>
    </row>
    <row r="187" ht="12.75">
      <c r="P187" s="79" t="s">
        <v>1184</v>
      </c>
    </row>
    <row r="188" ht="12.75">
      <c r="P188" s="79" t="s">
        <v>1185</v>
      </c>
    </row>
    <row r="189" ht="12.75">
      <c r="P189" s="79" t="s">
        <v>1186</v>
      </c>
    </row>
    <row r="190" ht="12.75">
      <c r="P190" s="79" t="s">
        <v>1187</v>
      </c>
    </row>
    <row r="191" ht="12.75">
      <c r="P191" s="79" t="s">
        <v>1188</v>
      </c>
    </row>
    <row r="192" ht="12.75">
      <c r="P192" s="79" t="s">
        <v>1189</v>
      </c>
    </row>
    <row r="193" ht="12.75">
      <c r="P193" s="79" t="s">
        <v>1190</v>
      </c>
    </row>
    <row r="194" ht="12.75">
      <c r="P194" s="79" t="s">
        <v>1191</v>
      </c>
    </row>
    <row r="195" ht="12.75">
      <c r="P195" s="79" t="s">
        <v>1192</v>
      </c>
    </row>
    <row r="196" ht="12.75">
      <c r="P196" s="79" t="s">
        <v>1193</v>
      </c>
    </row>
    <row r="197" ht="12.75">
      <c r="P197" s="79" t="s">
        <v>1194</v>
      </c>
    </row>
  </sheetData>
  <sheetProtection sheet="1" objects="1" scenarios="1"/>
  <printOptions/>
  <pageMargins left="0.7479166666666667" right="0.7479166666666667" top="0.9840277777777778" bottom="0.9840277777777778" header="0.5118055555555556" footer="0.5118055555555556"/>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